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19440" windowHeight="7620" firstSheet="19" activeTab="22"/>
  </bookViews>
  <sheets>
    <sheet name="bevétel 2.m. " sheetId="98" r:id="rId1"/>
    <sheet name="Bevétel Önkormányzat 2.1 " sheetId="99" r:id="rId2"/>
    <sheet name="Bev.étel Önk.köt.fel. 2.1)a" sheetId="145" r:id="rId3"/>
    <sheet name="Bevétel önk.önként váll.2.1)b" sheetId="151" r:id="rId4"/>
    <sheet name="Bevétel Polg.Hivatal 2.2 " sheetId="100" r:id="rId5"/>
    <sheet name="Bev. Polg.Hiv. köt.fel. 2.2)a" sheetId="146" r:id="rId6"/>
    <sheet name="Bevétel Könyvtár-Műv.h. 2.3. " sheetId="101" r:id="rId7"/>
    <sheet name="Bev.Könyvt.Műv.h.köt.fel.2.3)a" sheetId="119" r:id="rId8"/>
    <sheet name="Támogatás 2.4" sheetId="58" r:id="rId9"/>
    <sheet name="Kiadások3" sheetId="71" r:id="rId10"/>
    <sheet name="önkormányzat kiadásai 3.1. " sheetId="120" r:id="rId11"/>
    <sheet name="önk.köt.fel.kiadásai 3.1.)a" sheetId="147" r:id="rId12"/>
    <sheet name="Önk.önként.váll.fel.kiad.3.1.)b" sheetId="150" r:id="rId13"/>
    <sheet name="Polg.Hivatal kiadásai 3.2" sheetId="73" r:id="rId14"/>
    <sheet name="Polg.Hivatal kiadásai 3.2)a" sheetId="140" r:id="rId15"/>
    <sheet name="Könyvtár és Műv.H. kiadásai 3.3" sheetId="83" r:id="rId16"/>
    <sheet name="Könyvtár és Műv.H. k 3.3)a" sheetId="142" r:id="rId17"/>
    <sheet name="Működési kiadások4" sheetId="72" r:id="rId18"/>
    <sheet name="Felhalmozás 5.mell." sheetId="137" r:id="rId19"/>
    <sheet name="6. m.Többéves kih." sheetId="148" r:id="rId20"/>
    <sheet name="Mérleg7 " sheetId="102" r:id="rId21"/>
    <sheet name="Előirányzat felh.8" sheetId="77" r:id="rId22"/>
    <sheet name="Közvetett tám.-k 9. " sheetId="129" r:id="rId23"/>
    <sheet name="mérleg 3 éves 10.m." sheetId="68" r:id="rId24"/>
    <sheet name="Tartalék 11." sheetId="81" r:id="rId25"/>
    <sheet name="Eu-s pály. 12." sheetId="82" r:id="rId26"/>
    <sheet name="13. melléklet" sheetId="149" r:id="rId27"/>
    <sheet name="14.sz.mell." sheetId="97" r:id="rId28"/>
  </sheets>
  <definedNames>
    <definedName name="_xlnm.Print_Titles" localSheetId="8">'Támogatás 2.4'!$1:$3</definedName>
    <definedName name="_xlnm.Print_Area" localSheetId="5">'Bev. Polg.Hiv. köt.fel. 2.2)a'!$A$1:$J$10</definedName>
    <definedName name="_xlnm.Print_Area" localSheetId="7">'Bev.Könyvt.Műv.h.köt.fel.2.3)a'!$A$1:$J$12</definedName>
    <definedName name="_xlnm.Print_Area" localSheetId="0">'bevétel 2.m. '!$A$1:$I$45</definedName>
    <definedName name="_xlnm.Print_Area" localSheetId="4">'Bevétel Polg.Hivatal 2.2 '!$A$1:$J$10</definedName>
    <definedName name="_xlnm.Print_Area" localSheetId="9">Kiadások3!$A$1:$J$29</definedName>
    <definedName name="_xlnm.Print_Area" localSheetId="23">'mérleg 3 éves 10.m.'!$A$1:$I$35</definedName>
    <definedName name="_xlnm.Print_Area" localSheetId="20">'Mérleg7 '!$A$1:$F$65</definedName>
    <definedName name="_xlnm.Print_Area" localSheetId="11">'önk.köt.fel.kiadásai 3.1.)a'!$A$1:$L$32</definedName>
    <definedName name="_xlnm.Print_Area" localSheetId="10">'önkormányzat kiadásai 3.1. '!$A$1:$L$34</definedName>
    <definedName name="_xlnm.Print_Area" localSheetId="13">'Polg.Hivatal kiadásai 3.2'!$A$1:$L$12</definedName>
    <definedName name="_xlnm.Print_Area" localSheetId="14">'Polg.Hivatal kiadásai 3.2)a'!$A$1:$L$12</definedName>
    <definedName name="_xlnm.Print_Area" localSheetId="8">'Támogatás 2.4'!$A$1:$H$25</definedName>
    <definedName name="_xlnm.Print_Area" localSheetId="24">'Tartalék 11.'!$A$1:$H$25</definedName>
  </definedNames>
  <calcPr calcId="145621"/>
</workbook>
</file>

<file path=xl/calcChain.xml><?xml version="1.0" encoding="utf-8"?>
<calcChain xmlns="http://schemas.openxmlformats.org/spreadsheetml/2006/main">
  <c r="H24" i="68" l="1"/>
  <c r="H9" i="68"/>
  <c r="B9" i="77"/>
  <c r="F30" i="102"/>
  <c r="C40" i="98" l="1"/>
  <c r="D17" i="68" l="1"/>
  <c r="H14" i="68"/>
  <c r="H17" i="68" s="1"/>
  <c r="I40" i="98" s="1"/>
  <c r="H10" i="68"/>
  <c r="H12" i="68"/>
  <c r="H27" i="68"/>
  <c r="L13" i="150" l="1"/>
  <c r="L8" i="150"/>
  <c r="I11" i="151" l="1"/>
  <c r="H11" i="151"/>
  <c r="G11" i="151"/>
  <c r="F11" i="151"/>
  <c r="E11" i="151"/>
  <c r="D11" i="151"/>
  <c r="C11" i="151"/>
  <c r="B11" i="151"/>
  <c r="J10" i="151"/>
  <c r="J9" i="151"/>
  <c r="J8" i="151"/>
  <c r="K17" i="150"/>
  <c r="J17" i="150"/>
  <c r="I17" i="150"/>
  <c r="H17" i="150"/>
  <c r="G17" i="150"/>
  <c r="F17" i="150"/>
  <c r="E17" i="150"/>
  <c r="D17" i="150"/>
  <c r="C17" i="150"/>
  <c r="B17" i="150"/>
  <c r="L16" i="150"/>
  <c r="L15" i="150"/>
  <c r="L14" i="150"/>
  <c r="L12" i="150"/>
  <c r="L11" i="150"/>
  <c r="L10" i="150"/>
  <c r="L9" i="150"/>
  <c r="L17" i="150" l="1"/>
  <c r="J11" i="151"/>
  <c r="F7" i="148"/>
  <c r="I19" i="148" l="1"/>
  <c r="I20" i="148"/>
  <c r="I18" i="148"/>
  <c r="D18" i="148"/>
  <c r="G17" i="149"/>
  <c r="G18" i="149"/>
  <c r="G16" i="149"/>
  <c r="D13" i="97" l="1"/>
  <c r="G14" i="68" l="1"/>
  <c r="G17" i="68" l="1"/>
  <c r="G30" i="68"/>
  <c r="F23" i="102" l="1"/>
  <c r="F20" i="102" s="1"/>
  <c r="E23" i="102"/>
  <c r="E20" i="102" s="1"/>
  <c r="E36" i="102"/>
  <c r="G32" i="68"/>
  <c r="B15" i="71"/>
  <c r="B18" i="71" l="1"/>
  <c r="B23" i="98"/>
  <c r="C23" i="98"/>
  <c r="F21" i="148" l="1"/>
  <c r="E60" i="148"/>
  <c r="I60" i="148" s="1"/>
  <c r="E57" i="148"/>
  <c r="E61" i="148"/>
  <c r="I33" i="148"/>
  <c r="I28" i="148"/>
  <c r="I24" i="148"/>
  <c r="I26" i="148" l="1"/>
  <c r="I22" i="148"/>
  <c r="I34" i="148"/>
  <c r="I57" i="148"/>
  <c r="I58" i="148"/>
  <c r="I59" i="148"/>
  <c r="I61" i="148"/>
  <c r="I36" i="148"/>
  <c r="D48" i="148"/>
  <c r="D47" i="148"/>
  <c r="D46" i="148"/>
  <c r="D45" i="148"/>
  <c r="D42" i="148"/>
  <c r="D41" i="148"/>
  <c r="H7" i="148"/>
  <c r="G21" i="148"/>
  <c r="H21" i="148"/>
  <c r="I17" i="148"/>
  <c r="E7" i="148"/>
  <c r="D16" i="148"/>
  <c r="D15" i="148"/>
  <c r="D14" i="148"/>
  <c r="D13" i="148"/>
  <c r="D12" i="148"/>
  <c r="D11" i="148"/>
  <c r="D10" i="148"/>
  <c r="D9" i="148"/>
  <c r="D8" i="148"/>
  <c r="E53" i="102"/>
  <c r="F53" i="102"/>
  <c r="D59" i="102"/>
  <c r="D53" i="102"/>
  <c r="F19" i="72"/>
  <c r="H30" i="68"/>
  <c r="H32" i="68" l="1"/>
  <c r="D7" i="148"/>
  <c r="F22" i="68"/>
  <c r="F5" i="97"/>
  <c r="E5" i="97"/>
  <c r="D5" i="97"/>
  <c r="C5" i="97"/>
  <c r="E25" i="149" l="1"/>
  <c r="E27" i="149" s="1"/>
  <c r="O25" i="149"/>
  <c r="O27" i="149" s="1"/>
  <c r="N25" i="149"/>
  <c r="N27" i="149" s="1"/>
  <c r="M25" i="149"/>
  <c r="M27" i="149" s="1"/>
  <c r="L25" i="149"/>
  <c r="L27" i="149" s="1"/>
  <c r="K25" i="149"/>
  <c r="K27" i="149" s="1"/>
  <c r="J25" i="149"/>
  <c r="J27" i="149" s="1"/>
  <c r="I25" i="149"/>
  <c r="I27" i="149" s="1"/>
  <c r="H25" i="149"/>
  <c r="H27" i="149" s="1"/>
  <c r="G25" i="149"/>
  <c r="G27" i="149" s="1"/>
  <c r="F25" i="149"/>
  <c r="F27" i="149" s="1"/>
  <c r="F19" i="149"/>
  <c r="E19" i="149"/>
  <c r="D19" i="149"/>
  <c r="C19" i="149"/>
  <c r="G15" i="149"/>
  <c r="G14" i="149"/>
  <c r="G13" i="149"/>
  <c r="G12" i="149"/>
  <c r="G11" i="149"/>
  <c r="G10" i="149"/>
  <c r="G9" i="149"/>
  <c r="G8" i="149"/>
  <c r="G7" i="149"/>
  <c r="G6" i="149"/>
  <c r="G19" i="149" l="1"/>
  <c r="K10" i="77"/>
  <c r="K16" i="77"/>
  <c r="N12" i="77"/>
  <c r="C11" i="77"/>
  <c r="N9" i="77"/>
  <c r="K28" i="77"/>
  <c r="D28" i="77"/>
  <c r="H28" i="77" s="1"/>
  <c r="G28" i="77"/>
  <c r="F28" i="77"/>
  <c r="I28" i="77"/>
  <c r="K32" i="77"/>
  <c r="E32" i="77"/>
  <c r="E29" i="77"/>
  <c r="I26" i="77"/>
  <c r="N26" i="77" s="1"/>
  <c r="G26" i="77"/>
  <c r="N25" i="77"/>
  <c r="N23" i="77"/>
  <c r="N24" i="77"/>
  <c r="N22" i="77"/>
  <c r="B33" i="77"/>
  <c r="E15" i="82"/>
  <c r="G15" i="82"/>
  <c r="G12" i="82"/>
  <c r="I12" i="82" s="1"/>
  <c r="G14" i="82"/>
  <c r="I14" i="82" s="1"/>
  <c r="G13" i="82"/>
  <c r="I13" i="82" s="1"/>
  <c r="G7" i="82"/>
  <c r="I7" i="82" s="1"/>
  <c r="G8" i="82"/>
  <c r="I8" i="82" s="1"/>
  <c r="G9" i="82"/>
  <c r="I9" i="82" s="1"/>
  <c r="E10" i="82"/>
  <c r="I10" i="82"/>
  <c r="I11" i="82"/>
  <c r="D35" i="137"/>
  <c r="D33" i="137"/>
  <c r="D32" i="137"/>
  <c r="D31" i="137"/>
  <c r="D30" i="137"/>
  <c r="D28" i="137"/>
  <c r="D26" i="137"/>
  <c r="D27" i="137"/>
  <c r="D24" i="137"/>
  <c r="D23" i="137"/>
  <c r="D22" i="137"/>
  <c r="D21" i="137"/>
  <c r="D20" i="137"/>
  <c r="D17" i="137"/>
  <c r="D18" i="137"/>
  <c r="D29" i="137"/>
  <c r="D8" i="137"/>
  <c r="D11" i="137" s="1"/>
  <c r="K32" i="147"/>
  <c r="J32" i="147"/>
  <c r="I32" i="147"/>
  <c r="H32" i="147"/>
  <c r="G32" i="147"/>
  <c r="F32" i="147"/>
  <c r="E32" i="147"/>
  <c r="D32" i="147"/>
  <c r="C32" i="147"/>
  <c r="B32" i="147"/>
  <c r="L31" i="147"/>
  <c r="L30" i="147"/>
  <c r="L29" i="147"/>
  <c r="L28" i="147"/>
  <c r="L27" i="147"/>
  <c r="L26" i="147"/>
  <c r="L25" i="147"/>
  <c r="L24" i="147"/>
  <c r="L23" i="147"/>
  <c r="L22" i="147"/>
  <c r="L21" i="147"/>
  <c r="L20" i="147"/>
  <c r="L19" i="147"/>
  <c r="L18" i="147"/>
  <c r="L17" i="147"/>
  <c r="L16" i="147"/>
  <c r="L15" i="147"/>
  <c r="L14" i="147"/>
  <c r="L13" i="147"/>
  <c r="L12" i="147"/>
  <c r="L11" i="147"/>
  <c r="L10" i="147"/>
  <c r="L9" i="147"/>
  <c r="L8" i="147"/>
  <c r="I16" i="82" l="1"/>
  <c r="L32" i="147"/>
  <c r="I15" i="82"/>
  <c r="F24" i="72"/>
  <c r="F23" i="72"/>
  <c r="F16" i="72"/>
  <c r="C29" i="72"/>
  <c r="C15" i="72" s="1"/>
  <c r="L32" i="120"/>
  <c r="I25" i="145"/>
  <c r="H25" i="145"/>
  <c r="G25" i="145"/>
  <c r="F25" i="145"/>
  <c r="E25" i="145"/>
  <c r="D25" i="145"/>
  <c r="C25" i="145"/>
  <c r="B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K12" i="142"/>
  <c r="J12" i="142"/>
  <c r="I12" i="142"/>
  <c r="H12" i="142"/>
  <c r="G12" i="142"/>
  <c r="F12" i="142"/>
  <c r="E12" i="142"/>
  <c r="D12" i="142"/>
  <c r="C12" i="142"/>
  <c r="B12" i="142"/>
  <c r="L11" i="142"/>
  <c r="L10" i="142"/>
  <c r="L9" i="142"/>
  <c r="L8" i="142"/>
  <c r="K12" i="140"/>
  <c r="J12" i="140"/>
  <c r="I12" i="140"/>
  <c r="H12" i="140"/>
  <c r="G12" i="140"/>
  <c r="F12" i="140"/>
  <c r="E12" i="140"/>
  <c r="D12" i="140"/>
  <c r="C12" i="140"/>
  <c r="B12" i="140"/>
  <c r="L11" i="140"/>
  <c r="L10" i="140"/>
  <c r="L12" i="140" l="1"/>
  <c r="J25" i="145"/>
  <c r="L12" i="142"/>
  <c r="H18" i="58"/>
  <c r="H17" i="58"/>
  <c r="J24" i="99" l="1"/>
  <c r="C27" i="99"/>
  <c r="J12" i="99" l="1"/>
  <c r="J8" i="100" l="1"/>
  <c r="E21" i="148" l="1"/>
  <c r="I35" i="148" l="1"/>
  <c r="I32" i="148"/>
  <c r="I31" i="148"/>
  <c r="D21" i="148"/>
  <c r="I23" i="148"/>
  <c r="I25" i="148"/>
  <c r="I27" i="148"/>
  <c r="I29" i="148"/>
  <c r="I30" i="148"/>
  <c r="I38" i="148"/>
  <c r="I21" i="148" l="1"/>
  <c r="I16" i="148"/>
  <c r="I62" i="148" l="1"/>
  <c r="I56" i="148"/>
  <c r="I55" i="148"/>
  <c r="I54" i="148"/>
  <c r="I53" i="148"/>
  <c r="I52" i="148"/>
  <c r="I51" i="148"/>
  <c r="I50" i="148"/>
  <c r="I49" i="148"/>
  <c r="I48" i="148"/>
  <c r="I47" i="148"/>
  <c r="I46" i="148"/>
  <c r="I45" i="148"/>
  <c r="I44" i="148"/>
  <c r="I43" i="148"/>
  <c r="I42" i="148"/>
  <c r="I41" i="148"/>
  <c r="I39" i="148"/>
  <c r="H37" i="148"/>
  <c r="G37" i="148"/>
  <c r="F37" i="148"/>
  <c r="E37" i="148"/>
  <c r="I15" i="148"/>
  <c r="I14" i="148"/>
  <c r="I13" i="148"/>
  <c r="I12" i="148"/>
  <c r="I11" i="148"/>
  <c r="I10" i="148"/>
  <c r="I9" i="148"/>
  <c r="G7" i="148"/>
  <c r="E63" i="148" l="1"/>
  <c r="H63" i="148"/>
  <c r="G63" i="148"/>
  <c r="H18" i="81"/>
  <c r="H14" i="81"/>
  <c r="D21" i="129"/>
  <c r="F27" i="72" l="1"/>
  <c r="C32" i="72" l="1"/>
  <c r="L27" i="120"/>
  <c r="L15" i="120"/>
  <c r="H6" i="58"/>
  <c r="H7" i="58"/>
  <c r="I12" i="119" l="1"/>
  <c r="H12" i="119"/>
  <c r="G12" i="119"/>
  <c r="F12" i="119"/>
  <c r="E12" i="119"/>
  <c r="D12" i="119"/>
  <c r="C12" i="119"/>
  <c r="B12" i="119"/>
  <c r="J11" i="119"/>
  <c r="E11" i="119"/>
  <c r="J10" i="119"/>
  <c r="J9" i="119"/>
  <c r="J8" i="119"/>
  <c r="E8" i="119"/>
  <c r="I10" i="146"/>
  <c r="H10" i="146"/>
  <c r="G10" i="146"/>
  <c r="F10" i="146"/>
  <c r="E10" i="146"/>
  <c r="D10" i="146"/>
  <c r="C10" i="146"/>
  <c r="B10" i="146"/>
  <c r="J9" i="146"/>
  <c r="J8" i="146"/>
  <c r="J19" i="99"/>
  <c r="J20" i="99"/>
  <c r="J16" i="99"/>
  <c r="J12" i="119" l="1"/>
  <c r="J10" i="146"/>
  <c r="F30" i="68" l="1"/>
  <c r="D23" i="102" l="1"/>
  <c r="C37" i="98" l="1"/>
  <c r="D40" i="98"/>
  <c r="E40" i="98"/>
  <c r="G40" i="98" l="1"/>
  <c r="D36" i="137" l="1"/>
  <c r="I15" i="98" l="1"/>
  <c r="F36" i="102"/>
  <c r="L11" i="73"/>
  <c r="L10" i="73"/>
  <c r="C36" i="98"/>
  <c r="C35" i="98" s="1"/>
  <c r="C8" i="98"/>
  <c r="C7" i="98" s="1"/>
  <c r="B8" i="98"/>
  <c r="B7" i="98" s="1"/>
  <c r="E15" i="129"/>
  <c r="D15" i="129"/>
  <c r="G16" i="82" l="1"/>
  <c r="E16" i="82"/>
  <c r="I44" i="98" l="1"/>
  <c r="G37" i="98"/>
  <c r="G36" i="98" s="1"/>
  <c r="E37" i="98"/>
  <c r="E36" i="98" s="1"/>
  <c r="H21" i="98"/>
  <c r="E21" i="129"/>
  <c r="E59" i="102"/>
  <c r="G35" i="98" l="1"/>
  <c r="C18" i="71"/>
  <c r="C24" i="71"/>
  <c r="D36" i="102"/>
  <c r="D20" i="102"/>
  <c r="D16" i="102"/>
  <c r="D6" i="102"/>
  <c r="D5" i="102" s="1"/>
  <c r="H14" i="98"/>
  <c r="B20" i="98"/>
  <c r="C20" i="98"/>
  <c r="B17" i="98"/>
  <c r="D30" i="68"/>
  <c r="F17" i="68"/>
  <c r="I45" i="98"/>
  <c r="E16" i="102"/>
  <c r="F16" i="102"/>
  <c r="E6" i="102"/>
  <c r="E5" i="102" s="1"/>
  <c r="E35" i="102" s="1"/>
  <c r="B37" i="98"/>
  <c r="B36" i="98" s="1"/>
  <c r="B35" i="98" s="1"/>
  <c r="C30" i="98"/>
  <c r="D30" i="98"/>
  <c r="E30" i="98"/>
  <c r="E28" i="98" s="1"/>
  <c r="F30" i="98"/>
  <c r="G30" i="98"/>
  <c r="G28" i="98" s="1"/>
  <c r="B34" i="120"/>
  <c r="L10" i="120"/>
  <c r="L9" i="83"/>
  <c r="L10" i="83"/>
  <c r="L11" i="83"/>
  <c r="F6" i="102"/>
  <c r="F5" i="102" s="1"/>
  <c r="F35" i="102" s="1"/>
  <c r="J9" i="99"/>
  <c r="J10" i="99"/>
  <c r="J11" i="99"/>
  <c r="J13" i="99"/>
  <c r="J14" i="99"/>
  <c r="J15" i="99"/>
  <c r="J17" i="99"/>
  <c r="J18" i="99"/>
  <c r="J21" i="99"/>
  <c r="J22" i="99"/>
  <c r="J23" i="99"/>
  <c r="J25" i="99"/>
  <c r="J26" i="99"/>
  <c r="J8" i="99"/>
  <c r="D27" i="99"/>
  <c r="E27" i="99"/>
  <c r="F27" i="99"/>
  <c r="G27" i="99"/>
  <c r="H27" i="99"/>
  <c r="I27" i="99"/>
  <c r="B27" i="99"/>
  <c r="E32" i="102"/>
  <c r="F32" i="102"/>
  <c r="D15" i="71"/>
  <c r="E15" i="71"/>
  <c r="E18" i="71" s="1"/>
  <c r="F15" i="71"/>
  <c r="F18" i="71" s="1"/>
  <c r="G15" i="71"/>
  <c r="G18" i="71" s="1"/>
  <c r="I32" i="98"/>
  <c r="C17" i="98"/>
  <c r="L8" i="120"/>
  <c r="H16" i="71"/>
  <c r="I16" i="71"/>
  <c r="D33" i="77"/>
  <c r="C33" i="77"/>
  <c r="O32" i="77"/>
  <c r="O31" i="77"/>
  <c r="O30" i="77"/>
  <c r="O29" i="77"/>
  <c r="O28" i="77"/>
  <c r="O27" i="77"/>
  <c r="O26" i="77"/>
  <c r="O25" i="77"/>
  <c r="O24" i="77"/>
  <c r="M17" i="77"/>
  <c r="L17" i="77"/>
  <c r="K17" i="77"/>
  <c r="J17" i="77"/>
  <c r="I17" i="77"/>
  <c r="H17" i="77"/>
  <c r="G17" i="77"/>
  <c r="F17" i="77"/>
  <c r="E17" i="77"/>
  <c r="D17" i="77"/>
  <c r="B17" i="77"/>
  <c r="O15" i="77"/>
  <c r="O14" i="77"/>
  <c r="O13" i="77"/>
  <c r="O12" i="77"/>
  <c r="O11" i="77"/>
  <c r="O10" i="77"/>
  <c r="O8" i="77"/>
  <c r="F12" i="97"/>
  <c r="F13" i="97" s="1"/>
  <c r="F14" i="97" s="1"/>
  <c r="E12" i="97"/>
  <c r="E13" i="97" s="1"/>
  <c r="E14" i="97" s="1"/>
  <c r="D12" i="97"/>
  <c r="D14" i="97" s="1"/>
  <c r="C12" i="97"/>
  <c r="C13" i="97" s="1"/>
  <c r="C14" i="97" s="1"/>
  <c r="I14" i="71"/>
  <c r="H14" i="71"/>
  <c r="D15" i="72"/>
  <c r="E15" i="72"/>
  <c r="F31" i="72"/>
  <c r="D34" i="120"/>
  <c r="C30" i="68"/>
  <c r="B30" i="68"/>
  <c r="C17" i="68"/>
  <c r="B17" i="68"/>
  <c r="F46" i="102"/>
  <c r="E46" i="102"/>
  <c r="E63" i="102" s="1"/>
  <c r="D46" i="102"/>
  <c r="D63" i="102" s="1"/>
  <c r="I26" i="71"/>
  <c r="H26" i="71"/>
  <c r="G24" i="71"/>
  <c r="F24" i="71"/>
  <c r="E24" i="71"/>
  <c r="D24" i="71"/>
  <c r="B24" i="71"/>
  <c r="I23" i="71"/>
  <c r="H23" i="71"/>
  <c r="I22" i="71"/>
  <c r="H22" i="71"/>
  <c r="I21" i="71"/>
  <c r="H21" i="71"/>
  <c r="I20" i="71"/>
  <c r="H20" i="71"/>
  <c r="D18" i="71"/>
  <c r="I17" i="71"/>
  <c r="H17" i="71"/>
  <c r="I13" i="71"/>
  <c r="H13" i="71"/>
  <c r="I12" i="71"/>
  <c r="H12" i="71"/>
  <c r="I11" i="71"/>
  <c r="H11" i="71"/>
  <c r="I10" i="71"/>
  <c r="H10" i="71"/>
  <c r="I9" i="71"/>
  <c r="H9" i="71"/>
  <c r="H45" i="98"/>
  <c r="H44" i="98"/>
  <c r="I43" i="98"/>
  <c r="H43" i="98"/>
  <c r="I42" i="98"/>
  <c r="H42" i="98"/>
  <c r="I41" i="98"/>
  <c r="H41" i="98"/>
  <c r="I39" i="98"/>
  <c r="H39" i="98"/>
  <c r="I38" i="98"/>
  <c r="H38" i="98"/>
  <c r="F37" i="98"/>
  <c r="F36" i="98" s="1"/>
  <c r="D37" i="98"/>
  <c r="D36" i="98" s="1"/>
  <c r="H32" i="98"/>
  <c r="I31" i="98"/>
  <c r="H31" i="98"/>
  <c r="I29" i="98"/>
  <c r="H29" i="98"/>
  <c r="I27" i="98"/>
  <c r="H27" i="98"/>
  <c r="I26" i="98"/>
  <c r="H26" i="98"/>
  <c r="I25" i="98"/>
  <c r="H25" i="98"/>
  <c r="I24" i="98"/>
  <c r="H24" i="98"/>
  <c r="G23" i="98"/>
  <c r="G20" i="98" s="1"/>
  <c r="F20" i="98"/>
  <c r="E23" i="98"/>
  <c r="E20" i="98" s="1"/>
  <c r="D23" i="98"/>
  <c r="D20" i="98" s="1"/>
  <c r="I22" i="98"/>
  <c r="H22" i="98"/>
  <c r="I19" i="98"/>
  <c r="H19" i="98"/>
  <c r="I18" i="98"/>
  <c r="H18" i="98"/>
  <c r="G17" i="98"/>
  <c r="F17" i="98"/>
  <c r="E17" i="98"/>
  <c r="I17" i="98" s="1"/>
  <c r="D17" i="98"/>
  <c r="I16" i="98"/>
  <c r="H16" i="98"/>
  <c r="I14" i="98"/>
  <c r="I13" i="98"/>
  <c r="H13" i="98"/>
  <c r="I12" i="98"/>
  <c r="H12" i="98"/>
  <c r="I11" i="98"/>
  <c r="H11" i="98"/>
  <c r="I10" i="98"/>
  <c r="H10" i="98"/>
  <c r="I9" i="98"/>
  <c r="H9" i="98"/>
  <c r="G8" i="98"/>
  <c r="G7" i="98" s="1"/>
  <c r="F8" i="98"/>
  <c r="F7" i="98" s="1"/>
  <c r="E8" i="98"/>
  <c r="E7" i="98" s="1"/>
  <c r="D8" i="98"/>
  <c r="D7" i="98" s="1"/>
  <c r="E35" i="98"/>
  <c r="H28" i="98"/>
  <c r="L7" i="120"/>
  <c r="L9" i="120"/>
  <c r="L11" i="120"/>
  <c r="L12" i="120"/>
  <c r="L13" i="120"/>
  <c r="L14" i="120"/>
  <c r="L16" i="120"/>
  <c r="L17" i="120"/>
  <c r="L18" i="120"/>
  <c r="L19" i="120"/>
  <c r="L20" i="120"/>
  <c r="L21" i="120"/>
  <c r="L22" i="120"/>
  <c r="L23" i="120"/>
  <c r="L24" i="120"/>
  <c r="L25" i="120"/>
  <c r="L26" i="120"/>
  <c r="L28" i="120"/>
  <c r="L29" i="120"/>
  <c r="L30" i="120"/>
  <c r="L31" i="120"/>
  <c r="L33" i="120"/>
  <c r="L6" i="120"/>
  <c r="I34" i="120"/>
  <c r="J34" i="120"/>
  <c r="K34" i="120"/>
  <c r="C34" i="120"/>
  <c r="E34" i="120"/>
  <c r="F34" i="120"/>
  <c r="G34" i="120"/>
  <c r="H34" i="120"/>
  <c r="E26" i="129"/>
  <c r="E30" i="129" s="1"/>
  <c r="D26" i="129"/>
  <c r="H15" i="58"/>
  <c r="H5" i="58" s="1"/>
  <c r="H4" i="58" s="1"/>
  <c r="F22" i="72"/>
  <c r="F25" i="72"/>
  <c r="F26" i="72"/>
  <c r="F28" i="72"/>
  <c r="B12" i="73"/>
  <c r="C12" i="73"/>
  <c r="C10" i="100"/>
  <c r="D10" i="100"/>
  <c r="E10" i="100"/>
  <c r="F10" i="100"/>
  <c r="G10" i="100"/>
  <c r="H10" i="100"/>
  <c r="I10" i="100"/>
  <c r="B10" i="100"/>
  <c r="J9" i="100"/>
  <c r="F29" i="72"/>
  <c r="F14" i="72"/>
  <c r="F8" i="72"/>
  <c r="F9" i="72"/>
  <c r="F10" i="72"/>
  <c r="F11" i="72"/>
  <c r="F12" i="72"/>
  <c r="F13" i="72"/>
  <c r="F17" i="72"/>
  <c r="F15" i="72" s="1"/>
  <c r="F18" i="72"/>
  <c r="F20" i="72"/>
  <c r="F21" i="72"/>
  <c r="F30" i="72"/>
  <c r="F33" i="72"/>
  <c r="D32" i="72"/>
  <c r="E32" i="72"/>
  <c r="D7" i="72"/>
  <c r="E7" i="72"/>
  <c r="E34" i="72" s="1"/>
  <c r="C7" i="72"/>
  <c r="C12" i="83"/>
  <c r="D12" i="83"/>
  <c r="E12" i="83"/>
  <c r="F12" i="83"/>
  <c r="G12" i="83"/>
  <c r="H12" i="83"/>
  <c r="I12" i="83"/>
  <c r="J12" i="83"/>
  <c r="K12" i="83"/>
  <c r="B12" i="83"/>
  <c r="L8" i="83"/>
  <c r="K12" i="73"/>
  <c r="J9" i="101"/>
  <c r="J10" i="101"/>
  <c r="F12" i="101"/>
  <c r="G12" i="101"/>
  <c r="H12" i="101"/>
  <c r="I12" i="101"/>
  <c r="J12" i="73"/>
  <c r="G12" i="73"/>
  <c r="H12" i="73"/>
  <c r="C12" i="101"/>
  <c r="D12" i="101"/>
  <c r="E11" i="101"/>
  <c r="J11" i="101" s="1"/>
  <c r="E8" i="101"/>
  <c r="J8" i="101"/>
  <c r="B12" i="101"/>
  <c r="D12" i="73"/>
  <c r="E12" i="73"/>
  <c r="F12" i="73"/>
  <c r="I12" i="73"/>
  <c r="E12" i="101"/>
  <c r="I37" i="98"/>
  <c r="E33" i="77"/>
  <c r="N17" i="77"/>
  <c r="O9" i="77"/>
  <c r="F33" i="77"/>
  <c r="G33" i="77"/>
  <c r="H33" i="77"/>
  <c r="I33" i="77"/>
  <c r="J33" i="77"/>
  <c r="K33" i="77"/>
  <c r="L33" i="77"/>
  <c r="M33" i="77"/>
  <c r="O22" i="77"/>
  <c r="H40" i="98"/>
  <c r="D28" i="71" l="1"/>
  <c r="F28" i="71"/>
  <c r="H30" i="98"/>
  <c r="J12" i="101"/>
  <c r="B33" i="98"/>
  <c r="J27" i="99"/>
  <c r="F65" i="102"/>
  <c r="B28" i="71"/>
  <c r="I36" i="98"/>
  <c r="I35" i="98" s="1"/>
  <c r="H24" i="71"/>
  <c r="C28" i="71"/>
  <c r="C32" i="68"/>
  <c r="B32" i="68"/>
  <c r="F7" i="72"/>
  <c r="F34" i="72" s="1"/>
  <c r="L34" i="120"/>
  <c r="L12" i="73"/>
  <c r="L12" i="83"/>
  <c r="G28" i="71"/>
  <c r="I23" i="98"/>
  <c r="I8" i="98"/>
  <c r="H23" i="98"/>
  <c r="E33" i="98"/>
  <c r="H37" i="98"/>
  <c r="H21" i="81"/>
  <c r="C34" i="72"/>
  <c r="H15" i="71"/>
  <c r="H18" i="71" s="1"/>
  <c r="D35" i="98"/>
  <c r="H8" i="98"/>
  <c r="I30" i="98"/>
  <c r="H36" i="98"/>
  <c r="H35" i="98" s="1"/>
  <c r="D32" i="68"/>
  <c r="D34" i="72"/>
  <c r="F32" i="68"/>
  <c r="I24" i="71"/>
  <c r="D35" i="102"/>
  <c r="D30" i="129"/>
  <c r="I28" i="98"/>
  <c r="F32" i="72"/>
  <c r="J10" i="100"/>
  <c r="F33" i="98"/>
  <c r="H17" i="98"/>
  <c r="H20" i="98"/>
  <c r="E28" i="71"/>
  <c r="H7" i="98"/>
  <c r="D33" i="98"/>
  <c r="G33" i="98"/>
  <c r="I7" i="98"/>
  <c r="I20" i="98"/>
  <c r="C33" i="98"/>
  <c r="I15" i="71"/>
  <c r="I18" i="71" s="1"/>
  <c r="H28" i="71" l="1"/>
  <c r="F35" i="98"/>
  <c r="I28" i="71"/>
  <c r="H33" i="98"/>
  <c r="I33" i="98"/>
  <c r="O23" i="77"/>
  <c r="O33" i="77" s="1"/>
  <c r="N33" i="77"/>
  <c r="I8" i="148"/>
  <c r="I7" i="148" s="1"/>
  <c r="F63" i="148"/>
  <c r="C17" i="77"/>
  <c r="O16" i="77"/>
  <c r="O17" i="77" s="1"/>
  <c r="F59" i="102"/>
  <c r="F63" i="102" l="1"/>
  <c r="F64" i="102" s="1"/>
  <c r="D37" i="148"/>
  <c r="D63" i="148" s="1"/>
  <c r="I40" i="148"/>
  <c r="I37" i="148" s="1"/>
  <c r="I63" i="148" s="1"/>
</calcChain>
</file>

<file path=xl/comments1.xml><?xml version="1.0" encoding="utf-8"?>
<comments xmlns="http://schemas.openxmlformats.org/spreadsheetml/2006/main">
  <authors>
    <author>Attila</author>
  </authors>
  <commentList>
    <comment ref="I7" authorId="0">
      <text>
        <r>
          <rPr>
            <sz val="8"/>
            <color indexed="81"/>
            <rFont val="Tahoma"/>
            <family val="2"/>
            <charset val="238"/>
          </rPr>
          <t xml:space="preserve">Működési bevétel terhére
</t>
        </r>
      </text>
    </comment>
    <comment ref="I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Fejlesztési célú hitelfelvétel</t>
        </r>
      </text>
    </comment>
    <comment ref="I9" authorId="0">
      <text>
        <r>
          <rPr>
            <sz val="8"/>
            <color indexed="81"/>
            <rFont val="Tahoma"/>
            <family val="2"/>
            <charset val="238"/>
          </rPr>
          <t xml:space="preserve">Fejlesztési célú hitelfelvétel
</t>
        </r>
      </text>
    </comment>
    <comment ref="I10" authorId="0">
      <text>
        <r>
          <rPr>
            <sz val="8"/>
            <color indexed="81"/>
            <rFont val="Tahoma"/>
            <family val="2"/>
            <charset val="238"/>
          </rPr>
          <t xml:space="preserve">Fejlesztési célú hitelfelvétel
</t>
        </r>
      </text>
    </comment>
    <comment ref="I11" authorId="0">
      <text>
        <r>
          <rPr>
            <sz val="8"/>
            <color indexed="81"/>
            <rFont val="Tahoma"/>
            <family val="2"/>
            <charset val="238"/>
          </rPr>
          <t xml:space="preserve">Működési bevétel terhére
</t>
        </r>
      </text>
    </comment>
    <comment ref="I15" authorId="0">
      <text>
        <r>
          <rPr>
            <sz val="8"/>
            <color indexed="81"/>
            <rFont val="Tahoma"/>
            <family val="2"/>
            <charset val="238"/>
          </rPr>
          <t>Fejlesztési célú hitelfelvétel</t>
        </r>
      </text>
    </comment>
  </commentList>
</comments>
</file>

<file path=xl/sharedStrings.xml><?xml version="1.0" encoding="utf-8"?>
<sst xmlns="http://schemas.openxmlformats.org/spreadsheetml/2006/main" count="1261" uniqueCount="603">
  <si>
    <t>Kedvezmény nélkül elérhető bevétel</t>
  </si>
  <si>
    <t>Kedvezmények összege</t>
  </si>
  <si>
    <t>Ellátottak térítési díjának elengedése</t>
  </si>
  <si>
    <t>Ellátottak kártérítésének elengedése</t>
  </si>
  <si>
    <t>Lakosság részére lakásépítéshez nyújtott kölcsön elengedése</t>
  </si>
  <si>
    <t>Lakosság részére lakásfelújításhoz nyújtott kölcsön elengedése</t>
  </si>
  <si>
    <t>…………..-ból biztosított kedvezmény, mentesség*</t>
  </si>
  <si>
    <t>Eszközök hasznosítása utáni kedvezmény, menteség</t>
  </si>
  <si>
    <t>Egyéb kedvezmény</t>
  </si>
  <si>
    <t>Egyéb kölcsön elengedése</t>
  </si>
  <si>
    <t>Kommunális adó kedvezmény:</t>
  </si>
  <si>
    <t xml:space="preserve"> 15.1.</t>
  </si>
  <si>
    <t xml:space="preserve"> 15.2.</t>
  </si>
  <si>
    <t>*</t>
  </si>
  <si>
    <t>A helyi adókból biztosított kedvezményeket, mentességeket, adónemenként kell feltüntetni.</t>
  </si>
  <si>
    <t>( kedvezmények)</t>
  </si>
  <si>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</si>
  <si>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</si>
  <si>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</si>
  <si>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</si>
  <si>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</si>
  <si>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</si>
  <si>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</si>
  <si>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</si>
  <si>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</si>
  <si>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</si>
  <si>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</si>
  <si>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</si>
  <si>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</si>
  <si>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</si>
  <si>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</si>
  <si>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</si>
  <si>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</si>
  <si>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mutató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</si>
  <si>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</si>
  <si>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</si>
  <si>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</si>
  <si>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</si>
  <si>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</si>
  <si>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</si>
  <si>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</si>
  <si>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</si>
  <si>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</si>
  <si>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>hozzájárulás</t>
  </si>
  <si>
    <t>összege Ft</t>
  </si>
  <si>
    <t>Támogatási jogcím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</si>
  <si>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</si>
  <si>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</si>
  <si>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</si>
  <si>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</si>
  <si>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</si>
  <si>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</si>
  <si>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</si>
  <si>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</si>
  <si>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</si>
  <si>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</si>
  <si>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</si>
  <si>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</si>
  <si>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</si>
  <si>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</si>
  <si>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</si>
  <si>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</si>
  <si>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</si>
  <si>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</si>
  <si>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</si>
  <si>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</si>
  <si>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</si>
  <si>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</si>
  <si>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</si>
  <si>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</si>
  <si>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</si>
  <si>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</si>
  <si>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</si>
  <si>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</si>
  <si>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3.1.</t>
  </si>
  <si>
    <t>3.2.</t>
  </si>
  <si>
    <t>K I A D Á S O K</t>
  </si>
  <si>
    <t>Sor-szám</t>
  </si>
  <si>
    <t>Kiadási jogcímek</t>
  </si>
  <si>
    <t>1.1.</t>
  </si>
  <si>
    <t>2.1.</t>
  </si>
  <si>
    <t>2.2.</t>
  </si>
  <si>
    <t>2.3.</t>
  </si>
  <si>
    <t>2.4.</t>
  </si>
  <si>
    <t>Kötelezettség jogcíme</t>
  </si>
  <si>
    <t>Köt. váll.
 éve</t>
  </si>
  <si>
    <t>Kiadás vonzata évenként</t>
  </si>
  <si>
    <t>Működési célú hiteltörlesztés (tőke+kamat)</t>
  </si>
  <si>
    <t>Felhalmozási célú hiteltörlesztés (tőke+kamat)</t>
  </si>
  <si>
    <t>Beruházás feladatonként</t>
  </si>
  <si>
    <t>14.</t>
  </si>
  <si>
    <t>16.</t>
  </si>
  <si>
    <t>17.</t>
  </si>
  <si>
    <t>15.</t>
  </si>
  <si>
    <t>Egyéb</t>
  </si>
  <si>
    <t>18.</t>
  </si>
  <si>
    <t>19.</t>
  </si>
  <si>
    <t>20.</t>
  </si>
  <si>
    <t>22.</t>
  </si>
  <si>
    <t>23.</t>
  </si>
  <si>
    <t>24.</t>
  </si>
  <si>
    <t xml:space="preserve"> Címek                                                </t>
  </si>
  <si>
    <t>Egyek Nagyközség Önkormányzat Felhalmozási kiadásai feladatonként</t>
  </si>
  <si>
    <t>2011.</t>
  </si>
  <si>
    <t>adatok Ft-ban</t>
  </si>
  <si>
    <t>KIMUTATÁS</t>
  </si>
  <si>
    <t>évre tervezett tartalékokról</t>
  </si>
  <si>
    <t>Tartalék összesen:</t>
  </si>
  <si>
    <t xml:space="preserve">Bevételi </t>
  </si>
  <si>
    <t>Kiadás</t>
  </si>
  <si>
    <t>Tárkányi Béla Könyvtár és Művelődési Ház összesen:</t>
  </si>
  <si>
    <t>2012.</t>
  </si>
  <si>
    <t>2014.</t>
  </si>
  <si>
    <t xml:space="preserve"> 15.3.</t>
  </si>
  <si>
    <t>Egyeki Szöghatár Nonprofit Kft.</t>
  </si>
  <si>
    <t>25.</t>
  </si>
  <si>
    <t>26.</t>
  </si>
  <si>
    <t>27.</t>
  </si>
  <si>
    <t>Ezer forintban !</t>
  </si>
  <si>
    <t>Évek</t>
  </si>
  <si>
    <t>ÖSSZES KÖTELEZETTSÉG</t>
  </si>
  <si>
    <t>Bevételi jogcímek</t>
  </si>
  <si>
    <t>Helyi adók</t>
  </si>
  <si>
    <t>Osztalékok, koncessziós díjak, hozam</t>
  </si>
  <si>
    <t>Díjak, pótlékok bírságok</t>
  </si>
  <si>
    <t>Tárgyi eszközök, immateriális javak, vagyoni értékű jog értékesítése, 
vagyonhasznosításból származó bevétel</t>
  </si>
  <si>
    <t>Részvények, részesedések értékesítése</t>
  </si>
  <si>
    <t>Vállalatértékesítésből, privatizációból származó bevételek</t>
  </si>
  <si>
    <t>Kezességvállalással kapcsolatos megtérülés</t>
  </si>
  <si>
    <t>SAJÁT BEVÉTELEK ÖSSZESEN*</t>
  </si>
  <si>
    <t>Fejlesztési cél leírása</t>
  </si>
  <si>
    <t>Önkormányzati Tűzoltóság</t>
  </si>
  <si>
    <t>Egyek Nagyközség Önkormányzat adósságot keletkeztető ügyletekből és kezességvállalásokból fennálló kötelezettségei</t>
  </si>
  <si>
    <t>Egyek Nagyközség Önkormányzat saját bevételeinek részletezése az adósságot keletkeztető ügyletből származó tárgyévi fizetési kötelezettség megállapításához</t>
  </si>
  <si>
    <t>Adósságot keletkeztető ügyletek várható együttes összege:</t>
  </si>
  <si>
    <t>Hitel megnevezése</t>
  </si>
  <si>
    <t xml:space="preserve">I. Helyi Önkormányzatok általános működési támogatása összesen: </t>
  </si>
  <si>
    <t>I. 1.a) Önkormányzati Hivatal működésének támogatása</t>
  </si>
  <si>
    <t>I.1 b. Települési üzemeltetés támogatása</t>
  </si>
  <si>
    <t xml:space="preserve"> - Zöldterület-gazdálkodással kapcsolatos feladatok ell.tám.</t>
  </si>
  <si>
    <t xml:space="preserve">                   - Közvilágítás fenntartásának támogatása</t>
  </si>
  <si>
    <t xml:space="preserve">                   - Köztemető fenntartásával kapcsolatos feladatok támogatása</t>
  </si>
  <si>
    <t xml:space="preserve">                   - Közutak fenntartásának támogatása</t>
  </si>
  <si>
    <t>I.1.d.) Egyéb kötelező önkormányzati feladatok támogatása</t>
  </si>
  <si>
    <t>III.2. Hozzájárulás pénzbeli szociális ellátásokhoz</t>
  </si>
  <si>
    <t>III.3.e). Falugondnoki vagy tanyagondnoki szolgáltatás</t>
  </si>
  <si>
    <t>Önkormányzati támogatás összesen:</t>
  </si>
  <si>
    <t>Rövid lejáratú önkormányzati folyószámla hitel</t>
  </si>
  <si>
    <t>Könyvvizsgálati díj</t>
  </si>
  <si>
    <t>IV.1.d) Települési önkormányzatok támogatása nyilvános könyvtári ellátásokhoz és közművelődési feladatokhoz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</si>
  <si>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</si>
  <si>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</si>
  <si>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</si>
  <si>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</si>
  <si>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</si>
  <si>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</si>
  <si>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</si>
  <si>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</si>
  <si>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</si>
  <si>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</si>
  <si>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</si>
  <si>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</si>
  <si>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</si>
  <si>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</si>
  <si>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</si>
  <si>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</si>
  <si>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</si>
  <si>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</si>
  <si>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</si>
  <si>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</si>
  <si>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</si>
  <si>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</si>
  <si>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</si>
  <si>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</si>
  <si>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</si>
  <si>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</si>
  <si>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</si>
  <si>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</si>
  <si>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</si>
  <si>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</si>
  <si>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</si>
  <si>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</si>
  <si>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</si>
  <si>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</si>
  <si>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</si>
  <si>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</si>
  <si>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</si>
  <si>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</si>
  <si>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</si>
  <si>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</si>
  <si>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</si>
  <si>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</si>
  <si>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</si>
  <si>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</si>
  <si>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</si>
  <si>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</si>
  <si>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12 hó</t>
  </si>
  <si>
    <t>3.mell. 17. Lakott külterületekkel kapcsolatos feladatok támogatása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</si>
  <si>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</si>
  <si>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</si>
  <si>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</si>
  <si>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</si>
  <si>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</si>
  <si>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</si>
  <si>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</si>
  <si>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</si>
  <si>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</si>
  <si>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</si>
  <si>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</si>
  <si>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</si>
  <si>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</si>
  <si>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</si>
  <si>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</si>
  <si>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</si>
  <si>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</si>
  <si>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</si>
  <si>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</si>
  <si>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</si>
  <si>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</si>
  <si>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</si>
  <si>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</si>
  <si>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</si>
  <si>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</si>
  <si>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</si>
  <si>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</si>
  <si>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</si>
  <si>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16.1.</t>
  </si>
  <si>
    <t>16.2.</t>
  </si>
  <si>
    <t>Talajterhelési díj kedvezmény</t>
  </si>
  <si>
    <t>K5. Egyéb működési célú kiadások</t>
  </si>
  <si>
    <t>ebből: tartalék (működési)</t>
  </si>
  <si>
    <t>2013.</t>
  </si>
  <si>
    <t>Sebészeti szakrendeléshez eszközbérlet</t>
  </si>
  <si>
    <t>Szemészeti szakrendeléshez eszközbérlet</t>
  </si>
  <si>
    <t>Általános jogi tanácsadás</t>
  </si>
  <si>
    <t>2.5.</t>
  </si>
  <si>
    <t>2.6.</t>
  </si>
  <si>
    <t>3.4.</t>
  </si>
  <si>
    <t>3.5.</t>
  </si>
  <si>
    <t>4.1.</t>
  </si>
  <si>
    <t>4.2.</t>
  </si>
  <si>
    <t>4.5.</t>
  </si>
  <si>
    <t>4.6.</t>
  </si>
  <si>
    <t>4.8.</t>
  </si>
  <si>
    <t>4.9.</t>
  </si>
  <si>
    <t>4.10.</t>
  </si>
  <si>
    <t>4.11.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</si>
  <si>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</si>
  <si>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</si>
  <si>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</si>
  <si>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</si>
  <si>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4.12.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</si>
  <si>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</si>
  <si>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</si>
  <si>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</si>
  <si>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</si>
  <si>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</si>
  <si>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Egyeki Sportbarátok Sport Egyesülete</t>
  </si>
  <si>
    <t>Polgárőrség</t>
  </si>
  <si>
    <t>Temetési kölcsön</t>
  </si>
  <si>
    <t>Kormányzati funkció</t>
  </si>
  <si>
    <t>044320</t>
  </si>
  <si>
    <t>011130</t>
  </si>
  <si>
    <t>4.13.</t>
  </si>
  <si>
    <t>Világító testek bérleti díja</t>
  </si>
  <si>
    <t>2006.</t>
  </si>
  <si>
    <t>4.14.</t>
  </si>
  <si>
    <t>4.15.</t>
  </si>
  <si>
    <t>Népességnyilvántartó rendszer</t>
  </si>
  <si>
    <t>4.16.</t>
  </si>
  <si>
    <t>Polgármesteri Hivatal internet szolgáltatás</t>
  </si>
  <si>
    <t>4.17.</t>
  </si>
  <si>
    <t>4.18.</t>
  </si>
  <si>
    <t>Tűzjelző rendszer karbantartási szolgáltatás</t>
  </si>
  <si>
    <t>Adó és számviteli tanácsadás tagdíj</t>
  </si>
  <si>
    <t>4.20.</t>
  </si>
  <si>
    <t>Önkormányzati fizetési meghagyások elektronikus rendszer éves díj</t>
  </si>
  <si>
    <t>4.21.</t>
  </si>
  <si>
    <t>4.22.</t>
  </si>
  <si>
    <t>4.23.</t>
  </si>
  <si>
    <t>Egészségházban kártevőírtás szolgáltatás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</si>
  <si>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</si>
  <si>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</si>
  <si>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</si>
  <si>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</si>
  <si>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</si>
  <si>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</si>
  <si>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</si>
  <si>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</si>
  <si>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</si>
  <si>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</si>
  <si>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</si>
  <si>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</si>
  <si>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</si>
  <si>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</si>
  <si>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</si>
  <si>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</si>
  <si>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</si>
  <si>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</si>
  <si>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</si>
  <si>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</si>
  <si>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</si>
  <si>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</si>
  <si>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Adósságot keletkeztető ügyletből származó tárgyévi összes fizetési kötelezettség (tőke+kamat)</t>
  </si>
  <si>
    <t>B8113. Rövid lejáratú hitelek, kölcsönök felvétele</t>
  </si>
  <si>
    <t>B8192. Rövid lejáratú kölcsönök bevételei</t>
  </si>
  <si>
    <t>044320 Építőipar támogatása</t>
  </si>
  <si>
    <t>V.I.1.kiegészítés I.1. jogcímekhez kapcsolódó kiegészítés</t>
  </si>
  <si>
    <t>I.2. Nem közművel összegyűjtött háztartási szennyvíz ártalmatlanítása</t>
  </si>
  <si>
    <t>045160 Közutak, hidak, alagutak fenntartása</t>
  </si>
  <si>
    <t>104060 A gyermekek, fiatalok és családok életmin.jav.</t>
  </si>
  <si>
    <t xml:space="preserve">Gépjárműadóból biztosított kedvezmény, mentesség 1991.évi LXXXII.tv. 5. § </t>
  </si>
  <si>
    <t xml:space="preserve">Helyiségek hasznosítása utáni kedvezmény, menteség terembéreleti díj határozata alapján/ </t>
  </si>
  <si>
    <t xml:space="preserve">   ebből: választott tisztségviselők juttatásai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</si>
  <si>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</si>
  <si>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</si>
  <si>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</si>
  <si>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</si>
  <si>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</si>
  <si>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</si>
  <si>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</si>
  <si>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</si>
  <si>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</si>
  <si>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</si>
  <si>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</si>
  <si>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</si>
  <si>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</si>
  <si>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-</t>
  </si>
  <si>
    <t>Alacsony vételárú ingatlanok megvásárlása fejlesztési célú hitel</t>
  </si>
  <si>
    <t>Műfüves labdarugópálya pályázati tervdokumentáció elkészítésének finanszírozása feljesztési célú hitel</t>
  </si>
  <si>
    <t>Zúzott kő vásárlás fejlesztési célú hitel</t>
  </si>
  <si>
    <t>4.7.</t>
  </si>
  <si>
    <t>Egyek Nagyközség Önkormányzata ingatlanainak vagyonbiztosítási díja</t>
  </si>
  <si>
    <t>Közületi hulladékszállítási díj Polgármesteri Hivatalban esetén</t>
  </si>
  <si>
    <t>2017.</t>
  </si>
  <si>
    <t>2018.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</si>
  <si>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</si>
  <si>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Fejlesztés várható kiadása 2020. év</t>
  </si>
  <si>
    <t>Fejlesztés várható kiadása 2021. év</t>
  </si>
  <si>
    <t>Fejlesztés várható kiadása 2022. év</t>
  </si>
  <si>
    <t>Fejlesztés várható kiadása 2023. év</t>
  </si>
  <si>
    <t>Fejlesztés várható kiadása 2024. év</t>
  </si>
  <si>
    <t>Fejlesztés várható kiadása 2025. év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</si>
  <si>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</si>
  <si>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</si>
  <si>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</si>
  <si>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</si>
  <si>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</t>
  </si>
  <si>
    <t>Fejlesztés várható kiadása 2026. év</t>
  </si>
  <si>
    <t>Egyek horgászturizmushoz kapcsolódó pihenőpark és sétaút kialakítása önerő fedezete fejlesztési célú hitel</t>
  </si>
  <si>
    <t>Gyepmesteri telep építése Egyeken önerő finanszírozása fejlesztési célú hitel</t>
  </si>
  <si>
    <t>Önkormányzati tulajdonú ingatlan fűtéskorszerűsítése és Egészség Centrummá történő átalakítása fejlesztési célú hitel</t>
  </si>
  <si>
    <t>2015.</t>
  </si>
  <si>
    <t>2.11.</t>
  </si>
  <si>
    <t>"Egyek bel-és külterületi csapadékelvezető rendszer rekonstrukciója" fejlesztési célú hitel</t>
  </si>
  <si>
    <t>2.12.</t>
  </si>
  <si>
    <t>2.13.</t>
  </si>
  <si>
    <t>Önkormányzati tulajdonú ingatlanok fűtés korszerűsítése fejlesztési célú hitel</t>
  </si>
  <si>
    <t>3.6.</t>
  </si>
  <si>
    <t>Gyepmesteri telep állategészségügyi ellátás</t>
  </si>
  <si>
    <t>Távfelügyeleti szolgáltatás</t>
  </si>
  <si>
    <t>Egyek Nagyközség területén térfigyelő rendszer rendszer felügyeleti díj</t>
  </si>
  <si>
    <t>Gyepmesteri telep kártevőírtás szolgáltatás</t>
  </si>
  <si>
    <t>Távfelügyeleti szolgáltatás tűzjelző rendszerre</t>
  </si>
  <si>
    <t>B.14. Működési célú visszatérítendő támogatások, kölcsönök visszatérülése államháztartáson belülről</t>
  </si>
  <si>
    <t>Fajlagos összeg</t>
  </si>
  <si>
    <t>III.5.c A rászoruló gyermekek intézményen kívüli szünidei étkeztetésének támogatása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</si>
  <si>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</si>
  <si>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</si>
  <si>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</si>
  <si>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</si>
  <si>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</si>
  <si>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042180</t>
  </si>
  <si>
    <t>Többéves kihatással járó döntésekből származó kötelezettségek célok szerint évenkénti bontásban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</si>
  <si>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</si>
  <si>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</si>
  <si>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</si>
  <si>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Egyek település szennyvízelvezetési - és tisztítási projektje</t>
  </si>
  <si>
    <t xml:space="preserve">Időskorúak járadékában részesülők/Egyek Nagyközség Önkormányzat Képviselő Testületének 28/2013.(IX.26.) sz. rendelet 3. § b. pontja </t>
  </si>
  <si>
    <t xml:space="preserve"> 70 éven felüliek/ Egyek Nagyközség Önkormányzat Képviselő Testületének 28/2013.(IX.26.) sz. rendelet 3. § a) pontja</t>
  </si>
  <si>
    <t xml:space="preserve"> Készenléti szolgálatot ellátó önkéntes tűzoltók / Egyek Nagyközség Önkormányzat Képviselő Testületének 28/2013.(IX.26.) sz. rendelet 3. § c) pontja</t>
  </si>
  <si>
    <t>11.1.</t>
  </si>
  <si>
    <t>18. életévet be nem töltött magánszemélyek / Egyek Nagyközség Önkormányzat Képviselő Testületének 28/2013.(IX.26.) sz. rendelet 3. § d) pontja</t>
  </si>
  <si>
    <t>Balmazújvárosi Többcélú Társulás</t>
  </si>
  <si>
    <t>Elvonások és befizetések</t>
  </si>
  <si>
    <t>018010 Önkormányzatok elszámolásai a központi költségvetéssel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</si>
  <si>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</si>
  <si>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</si>
  <si>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</si>
  <si>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</si>
  <si>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</si>
  <si>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</si>
  <si>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K5. Egyéb működési célú kiadások (működési tartalékka együtt)</t>
  </si>
  <si>
    <t>ebből: K513 Tartalék (működési)</t>
  </si>
  <si>
    <t>K513. Tartalékok (felhalmozási)</t>
  </si>
  <si>
    <t>Tartalékok (működési)</t>
  </si>
  <si>
    <t>Ebből: K914 Államháztartáson belüli megelőlegezések visszafizetése</t>
  </si>
  <si>
    <t xml:space="preserve">            maradvány igénybevétel</t>
  </si>
  <si>
    <t>ebből: maradvány igénybevétel</t>
  </si>
  <si>
    <t>B1. Működési támogatások államháztartáson belülről</t>
  </si>
  <si>
    <t>Államháztartáson belüli megelőlegezés</t>
  </si>
  <si>
    <t>2020.</t>
  </si>
  <si>
    <t>Fejlesztés várható kiadása 2027. év</t>
  </si>
  <si>
    <t>2020. évi előirányzat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</si>
  <si>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</si>
  <si>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</si>
  <si>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</si>
  <si>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Fejlesztési célú tartalék összesen:</t>
  </si>
  <si>
    <t>Általános tartalék összesen: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</si>
  <si>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</si>
  <si>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</si>
  <si>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</si>
  <si>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</si>
  <si>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K5. Felhalmozási célú tartalék</t>
  </si>
  <si>
    <t xml:space="preserve"> Forintban </t>
  </si>
  <si>
    <t>Műfüves labdarugópálya kiépítése Egyeken</t>
  </si>
  <si>
    <t>2016.</t>
  </si>
  <si>
    <t>Adójellegű bevételek</t>
  </si>
  <si>
    <t>Műfüves labdarugópálya kialakítása Egyeken</t>
  </si>
  <si>
    <t>Viziközmű vagyon fejlesztés</t>
  </si>
  <si>
    <t>082040</t>
  </si>
  <si>
    <t>B31. Magánszemélyek jövedelemadói</t>
  </si>
  <si>
    <t>K513. Tartalékok</t>
  </si>
  <si>
    <t>K513. Tartalékok (működési)</t>
  </si>
  <si>
    <t>ebből: felhalmozási célú hitelfelvétel</t>
  </si>
  <si>
    <t xml:space="preserve"> ebből K914. Államháztartáson belüli megelőlegezések</t>
  </si>
  <si>
    <t>2021.</t>
  </si>
  <si>
    <t>Fejlesztés várható kiadása 2028. év</t>
  </si>
  <si>
    <t>2021. évi előirányzat</t>
  </si>
  <si>
    <t>Attila telepen fellelhető külterületi ingatlanok elbirtoklása, ügyvédi díj előleg</t>
  </si>
  <si>
    <t>3.7.</t>
  </si>
  <si>
    <t>11.2.</t>
  </si>
  <si>
    <t>Működési célú általános tartalék</t>
  </si>
  <si>
    <t>Egyek Nagyközség bel- és külterületének csapadékvíz-elvezető rendszer rekonstrukciója I. ütem</t>
  </si>
  <si>
    <t>Iparterület fjelsztése</t>
  </si>
  <si>
    <t>Bölcsődei ellátás infrastrukturális fejlesztése Egyeken</t>
  </si>
  <si>
    <t>B.15.Működési célú visszatérítendő támogatások, kölcsönök igénybevétele államháztartáson belülről</t>
  </si>
  <si>
    <t>2. Egyeki Polgármesteri Hivatal</t>
  </si>
  <si>
    <t>3. Tárkányi Béla Könytár és Művelődési ház</t>
  </si>
  <si>
    <t>1. Egyek Nagyközség Önkormányzata</t>
  </si>
  <si>
    <t>Működési kiadások</t>
  </si>
  <si>
    <t>Egyek Nagyközség Önkormányzat Felújítási kiadásai célonként</t>
  </si>
  <si>
    <t>Egyek település szennyvízelvezetési- és tisztítási projektje</t>
  </si>
  <si>
    <t>052020</t>
  </si>
  <si>
    <t>Iparterület fejlesztése</t>
  </si>
  <si>
    <t xml:space="preserve">Egyek Nagyközség Önkormányzata és az Egyeki Szöghatár Nonprofit között 2014. február 18.-án kelt 1617/2014. iktatószámmal ellátott megállapodás alapján/ </t>
  </si>
  <si>
    <t>045120 Út- autópálya építés</t>
  </si>
  <si>
    <t>072210 Járóbeteg gygyító szakellátása</t>
  </si>
  <si>
    <t>Polgármesteri illetmény támogatása</t>
  </si>
  <si>
    <t>045120 Út-, autópálya építés</t>
  </si>
  <si>
    <t>086090 Egyéb szabadidős szolgáltatások</t>
  </si>
  <si>
    <t>Nem közművel összegyűjtött szenyvízártalmatlanítás tám.</t>
  </si>
  <si>
    <t>082063</t>
  </si>
  <si>
    <t>Könyvtár: egyéb tárgyi eszköz beszerzés</t>
  </si>
  <si>
    <t>Közfoglalkoztatási mintaprogramok: egyéb tárgyi eszköz beszerzés</t>
  </si>
  <si>
    <t>Kamerarendszer korszerűsítése</t>
  </si>
  <si>
    <t>013320</t>
  </si>
  <si>
    <t>Településrendezési terv készítés</t>
  </si>
  <si>
    <t>Gyepmesteri telep: egyéb tárgyi eszköz beszerzés</t>
  </si>
  <si>
    <t>045120</t>
  </si>
  <si>
    <t>Külterületi utak fejlesztése</t>
  </si>
  <si>
    <t>Piac csarnok építés</t>
  </si>
  <si>
    <t>2022.</t>
  </si>
  <si>
    <t xml:space="preserve">Tűz és munkavédelmi szolgáltatás </t>
  </si>
  <si>
    <t>Bölcsőde építés</t>
  </si>
  <si>
    <t>2.14.</t>
  </si>
  <si>
    <t>3.8.</t>
  </si>
  <si>
    <t>Szennyvízcsatorna I. ütem kiépítése, Szennyvíztisztító telep áthelyezése</t>
  </si>
  <si>
    <t>"Bölcsődei ellátás infrastrukturális fejlesztése Egyeken" c. projekt kötelező nyilvánossági és kommunikációs tevékenységének lebonyolítása</t>
  </si>
  <si>
    <t xml:space="preserve">"Települési környezetvédelmi infrastruktúra-fejlesztése" c. projekthez kapcsolódó építési munkák </t>
  </si>
  <si>
    <t>"Ipari parkok, ipaterületek fejlesztése" c. pályázathoz készítendő engedélyes és kiviteli terv</t>
  </si>
  <si>
    <t>"Helyi termékértékesítést szolgáló piac kialakítása Egyek Nagyközségben" c. projekt projektmenedzsment feladatainak ellátása</t>
  </si>
  <si>
    <t>3.9.</t>
  </si>
  <si>
    <t>3.10.</t>
  </si>
  <si>
    <t>3.11.</t>
  </si>
  <si>
    <t>"Ipari parkok, ipaterületek fejlesztése" c. projekt, kötelező tájékoztatás és nyilvánosság tevékenységének ellátása</t>
  </si>
  <si>
    <t>"Ipari parkok, ipaterületek fejlesztése" c. projekt,közbeszerzési eljárás teljes körű lebonyolítása</t>
  </si>
  <si>
    <t>"Ipari parkok, ipaterületek fejlesztése c. projekthez kapcsolódó építési munkák műszaki lebonyolításával, ezen belül a műszaki ellenőrzés feladatainak ellátása</t>
  </si>
  <si>
    <t>Bölcsődei ellátás infrastrukturális fejlesztése Egyeken c. projekthez kapcsolódó építési munkák műszaki lebonyolításával, ezen belül a műszaki ellenőrzési felatok ellátása</t>
  </si>
  <si>
    <t>2022. évi előirányzat</t>
  </si>
  <si>
    <t>2019. évi várható tény Egyek Nagyközség Önkormányzata</t>
  </si>
  <si>
    <t xml:space="preserve">2019. Várható tény                                                      
Egyeki Polgármesteri Hivatal </t>
  </si>
  <si>
    <t>2019. Várható tény
Tárkányi Béla Könyvt.és Műv.H.</t>
  </si>
  <si>
    <t>2019. Várható tény 
Összesen:</t>
  </si>
  <si>
    <t xml:space="preserve">2020. Előirányzat  Egyek Nagyközség Önkormányzata </t>
  </si>
  <si>
    <t xml:space="preserve">2020. Előirányzat 
Egyeki Polgármesteri Hivatal </t>
  </si>
  <si>
    <t>2020. Előirányzat 
Tárkányi Béla Könyvt. És Műv.H.</t>
  </si>
  <si>
    <t>2020. Előirányzat 
Összesen:</t>
  </si>
  <si>
    <t>2020. évi terv</t>
  </si>
  <si>
    <t>Tárkányi Béla Könyvtár és Művelődési Ház 2020. évi tervezett bevételei</t>
  </si>
  <si>
    <t>Egyeki Polgármesteri Hivatal 2020. évi tervezett bevételei kötelező feladatonként</t>
  </si>
  <si>
    <t xml:space="preserve">Egyeki Polgármesteri Hivatal 2020. évi tervezett bevételei </t>
  </si>
  <si>
    <t>Egyek Nagyközség Önkormányzatának 2020. évre tervezett bevételei kötelező feladatonként</t>
  </si>
  <si>
    <t>Egyek Nagyközség Önkormányzatának 2020. évi bevételei</t>
  </si>
  <si>
    <t>018030 Tám-i célú finanszírozási műveletek</t>
  </si>
  <si>
    <t>086090 Egyéb szabadidős szolgáltatás</t>
  </si>
  <si>
    <t>III.3.a.(1) A finanszírozás szempontjából elismert szakmai dolgozók bértámogatása: felsőfokú végzettségű kisgyermeknevelők, szaktanácsadók</t>
  </si>
  <si>
    <t>III.3.a.(2) A finanszírozás szempontjából elismert szakmai dolgozók bértámogatása: bölcsődei dajkáék, középvokú végzettségű kisgyermeknevelők, szaktanácsadók</t>
  </si>
  <si>
    <t>III.3.b. Bölcsődei üzemeltetési támogatás</t>
  </si>
  <si>
    <t>III.5.aa) A finszírozás szempontjából elismert dolgozók bértámogatása</t>
  </si>
  <si>
    <t>III.5.ab) Gyermekétkeztetés üzemeltetési támogatása</t>
  </si>
  <si>
    <t>2020. ÉV</t>
  </si>
  <si>
    <t>2019. Várható tény 
Önkormányzat</t>
  </si>
  <si>
    <t>2019. Várható tény Egyeki Polgármesteri Hivatal</t>
  </si>
  <si>
    <t>2019. Várható tény Tárkányi Béla Könyvtár és Művelődési Ház</t>
  </si>
  <si>
    <t xml:space="preserve">2020. Előirányzat 
Önkormányzat </t>
  </si>
  <si>
    <t xml:space="preserve">2020. Előirányzat Egyeki Polgármesteri Hivatal </t>
  </si>
  <si>
    <t>2020. Előirányzat Tárkányi Béla Könyvtár és Művelődési Ház</t>
  </si>
  <si>
    <t>Egyek Nagyközség Önkormányzat és költségvetési szervei 2020. évi  kiadásai kiemelt előirányzatonként</t>
  </si>
  <si>
    <t>Tárkányi Béla Könyvtár és Művelődési Ház 2020. évi tervezett kiadásai feladatonként</t>
  </si>
  <si>
    <t>Tárkányi Béla Könyvtár és Művelődési Ház 2020. évi tervezett kiadásai  kötelező feladatonként</t>
  </si>
  <si>
    <t>Egyeki Polgármesteri Hivatal 2020. évi tervezett kiadásai kötelező feladatonként</t>
  </si>
  <si>
    <t>Egyeki Polgármesteri Hivatal 2020. évi tervezett kiadásai feladatonként</t>
  </si>
  <si>
    <t>Egyek Nagyközség Önkormányzatának 2020. évi tervezett kiadásai  feladatonként</t>
  </si>
  <si>
    <t>Egyek Nagyközség Önkormányzat és költségvetési szervei 2020. évi működési  kiadásai kiemelt előirányzatonként</t>
  </si>
  <si>
    <t>Látássérültek Egyesülete</t>
  </si>
  <si>
    <t>Mozgássérültek Egyesülete</t>
  </si>
  <si>
    <t>Egyeki Mentőállomás</t>
  </si>
  <si>
    <t>Plébánia támogatása (Képviselői tiszteletdíjról való lemondás miatt, 2019. évi)</t>
  </si>
  <si>
    <t>Plébánia támogatása (Képviselői tiszteletdíjról való lemondás miatt, 2020. évi)</t>
  </si>
  <si>
    <t>Kétöklű Szociális Szövetkezet működési támogatása</t>
  </si>
  <si>
    <t>Egyeki Szöghatár Nonprofit Kft.-nek kölcsön (Étterem fejl.tám.megelőlegezés)</t>
  </si>
  <si>
    <t>Tájház tetőszerkezetének felújítása (Kubinyi Ágoston program pályázat)</t>
  </si>
  <si>
    <t xml:space="preserve">107080 </t>
  </si>
  <si>
    <t>Esélyegyenlőséget c. tev-k és programok (EFOP pályázat)</t>
  </si>
  <si>
    <t>Köztemető fenntartás és működtetés</t>
  </si>
  <si>
    <t>Négyállásos kocsimosó építés</t>
  </si>
  <si>
    <t>Úszóműves csónak- és kisgéphajtó - kikötő építés</t>
  </si>
  <si>
    <t>Polgármesteri Hivatal: egyéb tárgyi eszközök beszerzése</t>
  </si>
  <si>
    <t>Polgármesteri Hivatal: informatikai eszközök beszerzése</t>
  </si>
  <si>
    <t>Önkormányzati jogalkotás: informatikai eszközök beszerzése</t>
  </si>
  <si>
    <t>Köztemetőben építés, eszközbeszerzés (pályázat)</t>
  </si>
  <si>
    <t>107080</t>
  </si>
  <si>
    <t>Esélyegyenlőség elősegítését célzó tevékenységek és programok</t>
  </si>
  <si>
    <t>107080 Esélyegyenlőség elősegítését célzó tevékenységek és programok</t>
  </si>
  <si>
    <t>Fejlesztési célú tartalék</t>
  </si>
  <si>
    <t>a 2020.</t>
  </si>
  <si>
    <t xml:space="preserve">Sorszám  </t>
  </si>
  <si>
    <t>2020. évben az Európai Unió költségvetéséből származó támogatással megvalósuló projektek</t>
  </si>
  <si>
    <t>Önerő</t>
  </si>
  <si>
    <t>Piac építés</t>
  </si>
  <si>
    <t>Úszóműves csónak- és kisgéphajó - kikötő építés</t>
  </si>
  <si>
    <t>Köztemetőben építés, eszközbeszerzés</t>
  </si>
  <si>
    <t>Egyek Nagyközség Önkormányzat 2020. évi előirányzat-felhasználási ütemterve</t>
  </si>
  <si>
    <t xml:space="preserve">Az önkormányzat által 2020. évben nyújtott közvetett támogatások </t>
  </si>
  <si>
    <t>Egyek nagyközség Önkormányzat Képviselő-testületének 3/2019. (XII.12.) sz.rendelet 7. § b.) pontja</t>
  </si>
  <si>
    <t>Egyek Nagyközség Önkormányzata Képviselő-testületének 30/2019. (XII.12.) sz.rendelet 7. § a) és c) pontja</t>
  </si>
  <si>
    <t>Egyek Nagyközség Önkormányzat 2020. évi adósságot keletkeztető fejlesztési céljai</t>
  </si>
  <si>
    <t>2020. évi várható felhalmozási hitelfizetési kötelezettség (kamatok nélkül) összege:</t>
  </si>
  <si>
    <t>2020. évi várható adósságot keletkeztető ügyletek egyttes összege:</t>
  </si>
  <si>
    <t>Összesen
(8=4+5+6+7)</t>
  </si>
  <si>
    <t>Bölcsődei ellátás infrastrukturális fejlesztése Egyeken c. pályázat önerő biztosítása</t>
  </si>
  <si>
    <t xml:space="preserve">" Egyek bel és külterületi csapadékelvezető rendszer rekonstrukciója"  pályázati támogatási előleg visszafizetése </t>
  </si>
  <si>
    <t>Külterületi utak fejlesztése projekt önerő fedezete</t>
  </si>
  <si>
    <t>Fejlesztés várható kiadása 2029. év</t>
  </si>
  <si>
    <t>2023. évi előirányzat</t>
  </si>
  <si>
    <t>2018. évi tényleges teljesítés</t>
  </si>
  <si>
    <t>2019. évi várható teljesítés</t>
  </si>
  <si>
    <t>2020. évi eredeti előirányzat</t>
  </si>
  <si>
    <t xml:space="preserve">                                              Egyek Nagyközség Önkormányzata működési és felhalmozási célú bevételeinek és kiadásainak 2018. évi tényleges, 2019. évi várható és 2020. évi eredeti előirányzata mérleg rendszerben</t>
  </si>
  <si>
    <t>2018. évi tény</t>
  </si>
  <si>
    <t>2019. évi várható teljesítés (Ft)</t>
  </si>
  <si>
    <t>2020. évi előirányzat (Ft)</t>
  </si>
  <si>
    <t>Egyek Nagyközség Önkormányzat pénzügyi mérlege: 2018-2020. év</t>
  </si>
  <si>
    <t>2020. Évi Költségvetési kiadások összesen</t>
  </si>
  <si>
    <t>2020. évi Költségvetési bevételek összesen</t>
  </si>
  <si>
    <t>2020. előtti kifizetés</t>
  </si>
  <si>
    <t>2023.</t>
  </si>
  <si>
    <t>2.15.</t>
  </si>
  <si>
    <t>Mezőgazdasági út építés</t>
  </si>
  <si>
    <t>3.12.</t>
  </si>
  <si>
    <t>Egészségház adatvédelmi tisztviselő szolgáltatás</t>
  </si>
  <si>
    <t>TÖOSZ tagsági díj</t>
  </si>
  <si>
    <t>Orvosi ügyelet</t>
  </si>
  <si>
    <t>Mezőgazdasági útépítés, kivitelezői szerződé szerint</t>
  </si>
  <si>
    <t xml:space="preserve">"Bölcsődei ellátás infrastrukturális fejlesztése Egyeken" c. projekt projektmenedzsment </t>
  </si>
  <si>
    <t>Szennyvízcsatorna I. ütem kiépítése, PR. És nyílvánosság biztosítása</t>
  </si>
  <si>
    <t>"Bölcsődei ellátás infrastrukturális fejlesztése Egyeken" c. projekt kivitelezés</t>
  </si>
  <si>
    <t>3.3</t>
  </si>
  <si>
    <t>3.13.</t>
  </si>
  <si>
    <t>3.14.</t>
  </si>
  <si>
    <t>3.15.</t>
  </si>
  <si>
    <t>Tárkányi Béla Könyvtár adatvédelmi tisztviselő szolgáltatás</t>
  </si>
  <si>
    <t>Egyeki Polgármesteri Hivatal adatvédelmi tisztviselő szolgáltatás</t>
  </si>
  <si>
    <t>4.24.</t>
  </si>
  <si>
    <t>4.25.</t>
  </si>
  <si>
    <t>4.26.</t>
  </si>
  <si>
    <t>4.27.</t>
  </si>
  <si>
    <t>4.28.</t>
  </si>
  <si>
    <t>B36. Egyéb közhatalmi bevételek (bírság, pótlék, mezőőri díj, talajterhelési díj)</t>
  </si>
  <si>
    <t>Piac építés önerő fedezete</t>
  </si>
  <si>
    <t>Úszóműves csónak- és kisgéphajtó - kikötő építés önerő fedezete</t>
  </si>
  <si>
    <t>2.16.</t>
  </si>
  <si>
    <t>2.17.</t>
  </si>
  <si>
    <t>Egyek Nagyközség Önkormányzatának 2020. évi tervezett kiadásai  önként vállalt feladatonként</t>
  </si>
  <si>
    <t>Egyek Nagyközség Önkormányzatának 2020. évre tervezett bevételei önként vállalt feladatonként</t>
  </si>
  <si>
    <t>072210 Járóbeteg gyógyító szakellátása</t>
  </si>
  <si>
    <t>Egyek Nagyközség Önkormányzatának 2020. évi tervezett kiadásai  kötelező feladatonként</t>
  </si>
  <si>
    <t>K915. Központi irányítószervi támogatás</t>
  </si>
  <si>
    <t>ebből: K914. Államháztartáson belüli megelőlegezések visszafizetése</t>
  </si>
  <si>
    <t>Adatok forintban</t>
  </si>
  <si>
    <t xml:space="preserve"> Adatok forintban</t>
  </si>
  <si>
    <t xml:space="preserve">Tárkányi Béla Könyvtár és Művelődési Ház 2020. évi tervezett bevételei kötelező feladatonként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</si>
</sst>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#,##0.0"/>
  </numFmts>
  <fonts count="10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i/>
      <sz val="10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sz val="10"/>
      <name val="Arial CE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0"/>
      <name val="Times New Roman CE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i/>
      <sz val="11"/>
      <name val="Times New Roman CE"/>
      <charset val="238"/>
    </font>
    <font>
      <sz val="12"/>
      <name val="Arial"/>
      <family val="2"/>
      <charset val="238"/>
    </font>
    <font>
      <b/>
      <sz val="9"/>
      <name val="Arial CE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name val="Arial"/>
      <family val="2"/>
    </font>
    <font>
      <b/>
      <i/>
      <sz val="11"/>
      <name val="Times New Roman"/>
      <family val="1"/>
      <charset val="238"/>
    </font>
    <font>
      <i/>
      <sz val="11"/>
      <name val="Arial CE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12"/>
      <name val="Arial"/>
      <family val="2"/>
      <charset val="238"/>
    </font>
    <font>
      <b/>
      <sz val="16"/>
      <name val="Times New Roman CE"/>
      <family val="1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Arial CE"/>
      <charset val="238"/>
    </font>
    <font>
      <i/>
      <sz val="10"/>
      <color indexed="8"/>
      <name val="Arial"/>
      <family val="2"/>
    </font>
    <font>
      <i/>
      <sz val="10"/>
      <color indexed="8"/>
      <name val="Arial"/>
      <family val="2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i/>
      <sz val="12"/>
      <name val="Times New Roman"/>
      <family val="1"/>
      <charset val="238"/>
    </font>
    <font>
      <i/>
      <sz val="12"/>
      <name val="Times New Roman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color rgb="FFFF0000"/>
      <name val="Times New Roman CE"/>
      <family val="1"/>
      <charset val="238"/>
    </font>
    <font>
      <b/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4" fillId="0" borderId="0"/>
    <xf numFmtId="0" fontId="30" fillId="0" borderId="0"/>
    <xf numFmtId="0" fontId="50" fillId="0" borderId="0"/>
    <xf numFmtId="43" fontId="1" fillId="0" borderId="0" applyFont="0" applyFill="0" applyBorder="0" applyAlignment="0" applyProtection="0"/>
  </cellStyleXfs>
  <cellXfs count="1061"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5" fillId="0" borderId="0" xfId="0" applyFont="1" applyFill="1" applyBorder="1"/>
    <xf numFmtId="3" fontId="5" fillId="0" borderId="0" xfId="0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3" fontId="6" fillId="0" borderId="0" xfId="0" applyNumberFormat="1" applyFont="1" applyBorder="1"/>
    <xf numFmtId="0" fontId="6" fillId="0" borderId="2" xfId="0" applyFont="1" applyBorder="1"/>
    <xf numFmtId="0" fontId="6" fillId="0" borderId="3" xfId="0" applyFont="1" applyBorder="1"/>
    <xf numFmtId="3" fontId="6" fillId="0" borderId="3" xfId="0" applyNumberFormat="1" applyFont="1" applyBorder="1"/>
    <xf numFmtId="3" fontId="5" fillId="0" borderId="0" xfId="0" applyNumberFormat="1" applyFont="1" applyBorder="1" applyAlignment="1"/>
    <xf numFmtId="0" fontId="0" fillId="0" borderId="0" xfId="0" applyBorder="1" applyAlignment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5" fillId="0" borderId="8" xfId="0" applyFont="1" applyBorder="1"/>
    <xf numFmtId="0" fontId="13" fillId="0" borderId="0" xfId="0" applyFont="1"/>
    <xf numFmtId="0" fontId="8" fillId="0" borderId="0" xfId="0" applyFont="1" applyAlignment="1"/>
    <xf numFmtId="0" fontId="15" fillId="0" borderId="0" xfId="0" applyFont="1" applyBorder="1"/>
    <xf numFmtId="0" fontId="13" fillId="0" borderId="1" xfId="0" applyFont="1" applyBorder="1"/>
    <xf numFmtId="0" fontId="8" fillId="0" borderId="0" xfId="0" applyFont="1" applyAlignment="1">
      <alignment horizontal="center" wrapText="1"/>
    </xf>
    <xf numFmtId="0" fontId="8" fillId="0" borderId="8" xfId="0" applyFont="1" applyBorder="1" applyAlignment="1"/>
    <xf numFmtId="0" fontId="18" fillId="0" borderId="0" xfId="0" applyFont="1" applyAlignment="1"/>
    <xf numFmtId="0" fontId="15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3" fillId="0" borderId="12" xfId="0" applyFont="1" applyBorder="1"/>
    <xf numFmtId="3" fontId="19" fillId="2" borderId="8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0" fillId="0" borderId="0" xfId="0" applyFont="1" applyBorder="1"/>
    <xf numFmtId="3" fontId="19" fillId="2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4" fillId="0" borderId="0" xfId="0" applyFont="1" applyAlignment="1">
      <alignment horizontal="center"/>
    </xf>
    <xf numFmtId="0" fontId="20" fillId="0" borderId="0" xfId="0" applyFont="1"/>
    <xf numFmtId="0" fontId="19" fillId="0" borderId="13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3" xfId="0" applyFont="1" applyBorder="1"/>
    <xf numFmtId="3" fontId="20" fillId="0" borderId="13" xfId="0" applyNumberFormat="1" applyFont="1" applyBorder="1"/>
    <xf numFmtId="0" fontId="19" fillId="0" borderId="0" xfId="0" applyFont="1"/>
    <xf numFmtId="3" fontId="20" fillId="0" borderId="0" xfId="0" applyNumberFormat="1" applyFont="1"/>
    <xf numFmtId="164" fontId="29" fillId="0" borderId="0" xfId="4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horizontal="center" vertical="center" wrapText="1"/>
    </xf>
    <xf numFmtId="164" fontId="31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6" fillId="0" borderId="13" xfId="0" applyFont="1" applyBorder="1"/>
    <xf numFmtId="3" fontId="21" fillId="0" borderId="13" xfId="0" applyNumberFormat="1" applyFont="1" applyBorder="1"/>
    <xf numFmtId="0" fontId="15" fillId="0" borderId="14" xfId="4" applyFont="1" applyFill="1" applyBorder="1" applyAlignment="1" applyProtection="1">
      <alignment horizontal="center" vertical="center" wrapText="1"/>
    </xf>
    <xf numFmtId="0" fontId="15" fillId="0" borderId="15" xfId="4" applyFont="1" applyFill="1" applyBorder="1" applyAlignment="1" applyProtection="1">
      <alignment horizontal="center" vertical="center" wrapText="1"/>
    </xf>
    <xf numFmtId="0" fontId="15" fillId="0" borderId="16" xfId="4" applyFont="1" applyFill="1" applyBorder="1" applyAlignment="1" applyProtection="1">
      <alignment horizontal="center" vertical="center" wrapText="1"/>
    </xf>
    <xf numFmtId="0" fontId="15" fillId="0" borderId="17" xfId="4" applyFont="1" applyFill="1" applyBorder="1" applyAlignment="1" applyProtection="1">
      <alignment horizontal="left" vertical="center" wrapText="1" indent="1"/>
    </xf>
    <xf numFmtId="0" fontId="13" fillId="0" borderId="13" xfId="4" applyFont="1" applyFill="1" applyBorder="1" applyAlignment="1" applyProtection="1">
      <alignment horizontal="left" vertical="center" wrapText="1" indent="1"/>
    </xf>
    <xf numFmtId="0" fontId="13" fillId="0" borderId="18" xfId="4" applyFont="1" applyFill="1" applyBorder="1" applyAlignment="1" applyProtection="1">
      <alignment horizontal="left" vertical="center" wrapText="1" indent="1"/>
    </xf>
    <xf numFmtId="0" fontId="13" fillId="0" borderId="13" xfId="4" applyFont="1" applyFill="1" applyBorder="1" applyAlignment="1" applyProtection="1">
      <alignment horizontal="left" vertical="center" wrapText="1" indent="2"/>
    </xf>
    <xf numFmtId="0" fontId="13" fillId="0" borderId="19" xfId="4" applyFont="1" applyFill="1" applyBorder="1" applyAlignment="1" applyProtection="1">
      <alignment horizontal="left" vertical="center" wrapText="1" indent="1"/>
    </xf>
    <xf numFmtId="0" fontId="15" fillId="0" borderId="9" xfId="4" applyFont="1" applyFill="1" applyBorder="1" applyAlignment="1" applyProtection="1">
      <alignment horizontal="left" vertical="center" wrapText="1" indent="1"/>
    </xf>
    <xf numFmtId="164" fontId="15" fillId="0" borderId="7" xfId="4" applyNumberFormat="1" applyFont="1" applyFill="1" applyBorder="1" applyAlignment="1" applyProtection="1">
      <alignment horizontal="centerContinuous" vertical="center"/>
    </xf>
    <xf numFmtId="0" fontId="15" fillId="0" borderId="20" xfId="4" applyFont="1" applyFill="1" applyBorder="1" applyAlignment="1" applyProtection="1">
      <alignment vertical="center" wrapText="1"/>
    </xf>
    <xf numFmtId="0" fontId="13" fillId="0" borderId="21" xfId="4" applyFont="1" applyFill="1" applyBorder="1" applyAlignment="1" applyProtection="1">
      <alignment horizontal="left" vertical="center" wrapText="1" indent="1"/>
    </xf>
    <xf numFmtId="0" fontId="15" fillId="0" borderId="15" xfId="4" applyFont="1" applyFill="1" applyBorder="1" applyAlignment="1" applyProtection="1">
      <alignment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 applyProtection="1">
      <alignment vertical="center" wrapText="1"/>
      <protection locked="0"/>
    </xf>
    <xf numFmtId="164" fontId="1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2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 applyProtection="1">
      <alignment vertical="center" wrapText="1"/>
      <protection locked="0"/>
    </xf>
    <xf numFmtId="164" fontId="13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3" xfId="0" applyNumberFormat="1" applyFont="1" applyFill="1" applyBorder="1" applyAlignment="1">
      <alignment horizontal="right" vertical="center" wrapText="1"/>
    </xf>
    <xf numFmtId="16" fontId="13" fillId="0" borderId="23" xfId="0" applyNumberFormat="1" applyFont="1" applyFill="1" applyBorder="1" applyAlignment="1">
      <alignment horizontal="center" vertical="center" wrapText="1"/>
    </xf>
    <xf numFmtId="164" fontId="13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/>
    <xf numFmtId="0" fontId="13" fillId="0" borderId="24" xfId="0" applyFont="1" applyBorder="1"/>
    <xf numFmtId="0" fontId="13" fillId="0" borderId="25" xfId="0" applyFont="1" applyBorder="1"/>
    <xf numFmtId="0" fontId="8" fillId="0" borderId="0" xfId="0" applyFont="1" applyBorder="1" applyAlignment="1">
      <alignment horizontal="center"/>
    </xf>
    <xf numFmtId="0" fontId="15" fillId="0" borderId="0" xfId="0" applyFont="1" applyBorder="1" applyAlignment="1"/>
    <xf numFmtId="3" fontId="15" fillId="0" borderId="0" xfId="0" applyNumberFormat="1" applyFont="1" applyBorder="1" applyAlignment="1"/>
    <xf numFmtId="0" fontId="15" fillId="0" borderId="26" xfId="0" applyFont="1" applyBorder="1"/>
    <xf numFmtId="166" fontId="14" fillId="2" borderId="8" xfId="1" applyNumberFormat="1" applyFont="1" applyFill="1" applyBorder="1"/>
    <xf numFmtId="0" fontId="19" fillId="0" borderId="13" xfId="0" applyFont="1" applyFill="1" applyBorder="1"/>
    <xf numFmtId="3" fontId="20" fillId="0" borderId="13" xfId="0" applyNumberFormat="1" applyFont="1" applyFill="1" applyBorder="1"/>
    <xf numFmtId="0" fontId="0" fillId="0" borderId="0" xfId="0" applyFill="1"/>
    <xf numFmtId="0" fontId="37" fillId="0" borderId="23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 applyProtection="1">
      <alignment vertical="center" wrapText="1"/>
      <protection locked="0"/>
    </xf>
    <xf numFmtId="0" fontId="4" fillId="0" borderId="0" xfId="0" applyFont="1"/>
    <xf numFmtId="0" fontId="25" fillId="0" borderId="0" xfId="0" applyFont="1" applyAlignment="1">
      <alignment horizontal="center"/>
    </xf>
    <xf numFmtId="3" fontId="12" fillId="0" borderId="0" xfId="0" applyNumberFormat="1" applyFont="1"/>
    <xf numFmtId="3" fontId="26" fillId="0" borderId="0" xfId="0" applyNumberFormat="1" applyFont="1"/>
    <xf numFmtId="3" fontId="14" fillId="0" borderId="0" xfId="0" applyNumberFormat="1" applyFont="1"/>
    <xf numFmtId="3" fontId="43" fillId="0" borderId="0" xfId="0" applyNumberFormat="1" applyFont="1"/>
    <xf numFmtId="0" fontId="3" fillId="0" borderId="0" xfId="0" applyFont="1" applyAlignment="1">
      <alignment horizontal="center"/>
    </xf>
    <xf numFmtId="0" fontId="44" fillId="0" borderId="0" xfId="0" applyFont="1"/>
    <xf numFmtId="166" fontId="15" fillId="0" borderId="16" xfId="1" applyNumberFormat="1" applyFont="1" applyFill="1" applyBorder="1" applyAlignment="1" applyProtection="1">
      <alignment vertical="center" wrapText="1"/>
    </xf>
    <xf numFmtId="166" fontId="15" fillId="0" borderId="27" xfId="1" applyNumberFormat="1" applyFont="1" applyFill="1" applyBorder="1" applyAlignment="1" applyProtection="1">
      <alignment vertical="center" wrapText="1"/>
    </xf>
    <xf numFmtId="166" fontId="15" fillId="0" borderId="28" xfId="1" applyNumberFormat="1" applyFont="1" applyFill="1" applyBorder="1" applyAlignment="1" applyProtection="1">
      <alignment vertical="center" wrapText="1"/>
    </xf>
    <xf numFmtId="166" fontId="13" fillId="0" borderId="29" xfId="1" applyNumberFormat="1" applyFont="1" applyFill="1" applyBorder="1" applyAlignment="1" applyProtection="1">
      <alignment vertical="center" wrapText="1"/>
    </xf>
    <xf numFmtId="166" fontId="13" fillId="0" borderId="30" xfId="1" applyNumberFormat="1" applyFont="1" applyFill="1" applyBorder="1" applyAlignment="1" applyProtection="1">
      <alignment vertical="center" wrapText="1"/>
    </xf>
    <xf numFmtId="166" fontId="4" fillId="0" borderId="8" xfId="1" applyNumberFormat="1" applyFont="1" applyBorder="1" applyAlignment="1">
      <alignment horizontal="center"/>
    </xf>
    <xf numFmtId="166" fontId="13" fillId="2" borderId="8" xfId="1" applyNumberFormat="1" applyFont="1" applyFill="1" applyBorder="1"/>
    <xf numFmtId="0" fontId="47" fillId="0" borderId="0" xfId="0" applyFont="1"/>
    <xf numFmtId="0" fontId="49" fillId="0" borderId="0" xfId="0" applyFont="1"/>
    <xf numFmtId="0" fontId="15" fillId="0" borderId="27" xfId="4" applyFont="1" applyFill="1" applyBorder="1" applyAlignment="1" applyProtection="1">
      <alignment horizontal="left" vertical="center" wrapText="1" indent="1"/>
    </xf>
    <xf numFmtId="166" fontId="15" fillId="0" borderId="8" xfId="1" applyNumberFormat="1" applyFont="1" applyFill="1" applyBorder="1" applyAlignment="1" applyProtection="1">
      <alignment vertical="center" wrapText="1"/>
    </xf>
    <xf numFmtId="0" fontId="15" fillId="0" borderId="0" xfId="4" applyFont="1" applyFill="1" applyBorder="1" applyAlignment="1" applyProtection="1">
      <alignment horizontal="center" vertical="center" wrapText="1"/>
    </xf>
    <xf numFmtId="0" fontId="13" fillId="0" borderId="0" xfId="4" applyFont="1" applyFill="1" applyBorder="1" applyAlignment="1" applyProtection="1">
      <alignment horizontal="left" vertical="center"/>
    </xf>
    <xf numFmtId="49" fontId="13" fillId="0" borderId="0" xfId="4" applyNumberFormat="1" applyFont="1" applyFill="1" applyBorder="1" applyAlignment="1" applyProtection="1">
      <alignment horizontal="left" vertical="center"/>
    </xf>
    <xf numFmtId="0" fontId="15" fillId="0" borderId="31" xfId="0" applyFont="1" applyBorder="1"/>
    <xf numFmtId="166" fontId="13" fillId="0" borderId="24" xfId="1" applyNumberFormat="1" applyFont="1" applyBorder="1"/>
    <xf numFmtId="3" fontId="20" fillId="2" borderId="0" xfId="0" applyNumberFormat="1" applyFont="1" applyFill="1" applyBorder="1" applyAlignment="1"/>
    <xf numFmtId="3" fontId="21" fillId="2" borderId="0" xfId="0" applyNumberFormat="1" applyFont="1" applyFill="1" applyBorder="1" applyAlignment="1"/>
    <xf numFmtId="0" fontId="19" fillId="2" borderId="0" xfId="0" applyFont="1" applyFill="1" applyBorder="1" applyAlignment="1"/>
    <xf numFmtId="0" fontId="19" fillId="0" borderId="13" xfId="0" applyFont="1" applyBorder="1" applyAlignment="1">
      <alignment wrapText="1"/>
    </xf>
    <xf numFmtId="166" fontId="5" fillId="0" borderId="0" xfId="1" applyNumberFormat="1" applyFont="1"/>
    <xf numFmtId="166" fontId="14" fillId="0" borderId="8" xfId="1" applyNumberFormat="1" applyFont="1" applyFill="1" applyBorder="1"/>
    <xf numFmtId="166" fontId="0" fillId="0" borderId="0" xfId="0" applyNumberFormat="1"/>
    <xf numFmtId="166" fontId="13" fillId="0" borderId="0" xfId="1" applyNumberFormat="1" applyFont="1"/>
    <xf numFmtId="0" fontId="13" fillId="0" borderId="23" xfId="4" applyFont="1" applyFill="1" applyBorder="1" applyAlignment="1" applyProtection="1">
      <alignment horizontal="left" vertical="center" wrapText="1" indent="2"/>
    </xf>
    <xf numFmtId="166" fontId="13" fillId="0" borderId="32" xfId="1" applyNumberFormat="1" applyFont="1" applyFill="1" applyBorder="1" applyAlignment="1" applyProtection="1"/>
    <xf numFmtId="0" fontId="7" fillId="0" borderId="8" xfId="0" applyFont="1" applyBorder="1"/>
    <xf numFmtId="3" fontId="5" fillId="2" borderId="0" xfId="0" applyNumberFormat="1" applyFont="1" applyFill="1" applyBorder="1"/>
    <xf numFmtId="0" fontId="15" fillId="2" borderId="8" xfId="0" applyFont="1" applyFill="1" applyBorder="1" applyAlignment="1">
      <alignment horizontal="center"/>
    </xf>
    <xf numFmtId="3" fontId="6" fillId="2" borderId="0" xfId="0" applyNumberFormat="1" applyFont="1" applyFill="1" applyBorder="1"/>
    <xf numFmtId="3" fontId="0" fillId="2" borderId="0" xfId="0" applyNumberFormat="1" applyFill="1" applyBorder="1"/>
    <xf numFmtId="0" fontId="0" fillId="2" borderId="0" xfId="0" applyFill="1"/>
    <xf numFmtId="0" fontId="1" fillId="0" borderId="0" xfId="0" applyFont="1"/>
    <xf numFmtId="166" fontId="7" fillId="2" borderId="8" xfId="1" applyNumberFormat="1" applyFont="1" applyFill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8" fillId="0" borderId="9" xfId="0" applyFont="1" applyBorder="1" applyAlignment="1"/>
    <xf numFmtId="0" fontId="15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166" fontId="38" fillId="0" borderId="0" xfId="1" applyNumberFormat="1" applyFont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28" fillId="2" borderId="0" xfId="0" applyFont="1" applyFill="1" applyBorder="1" applyAlignment="1">
      <alignment horizontal="center" wrapText="1"/>
    </xf>
    <xf numFmtId="3" fontId="28" fillId="2" borderId="8" xfId="0" applyNumberFormat="1" applyFont="1" applyFill="1" applyBorder="1"/>
    <xf numFmtId="3" fontId="0" fillId="2" borderId="0" xfId="0" applyNumberFormat="1" applyFill="1"/>
    <xf numFmtId="0" fontId="40" fillId="2" borderId="0" xfId="0" applyFont="1" applyFill="1"/>
    <xf numFmtId="3" fontId="40" fillId="2" borderId="0" xfId="0" applyNumberFormat="1" applyFont="1" applyFill="1"/>
    <xf numFmtId="3" fontId="5" fillId="2" borderId="0" xfId="0" applyNumberFormat="1" applyFont="1" applyFill="1"/>
    <xf numFmtId="0" fontId="5" fillId="2" borderId="0" xfId="0" applyFont="1" applyFill="1"/>
    <xf numFmtId="0" fontId="15" fillId="0" borderId="3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14" fillId="0" borderId="0" xfId="0" applyNumberFormat="1" applyFont="1" applyAlignment="1">
      <alignment horizontal="center"/>
    </xf>
    <xf numFmtId="0" fontId="55" fillId="0" borderId="0" xfId="4" applyFont="1" applyFill="1"/>
    <xf numFmtId="164" fontId="35" fillId="0" borderId="0" xfId="4" applyNumberFormat="1" applyFont="1" applyFill="1" applyBorder="1" applyAlignment="1" applyProtection="1">
      <alignment horizontal="centerContinuous" vertical="center"/>
    </xf>
    <xf numFmtId="0" fontId="56" fillId="0" borderId="0" xfId="3" applyFont="1" applyFill="1" applyBorder="1" applyAlignment="1" applyProtection="1"/>
    <xf numFmtId="0" fontId="58" fillId="0" borderId="21" xfId="4" applyFont="1" applyFill="1" applyBorder="1" applyAlignment="1">
      <alignment horizontal="center" vertical="center" wrapText="1"/>
    </xf>
    <xf numFmtId="0" fontId="59" fillId="0" borderId="0" xfId="3" applyFont="1" applyFill="1" applyBorder="1" applyAlignment="1" applyProtection="1">
      <alignment horizontal="right"/>
    </xf>
    <xf numFmtId="0" fontId="60" fillId="0" borderId="22" xfId="4" applyFont="1" applyFill="1" applyBorder="1" applyAlignment="1" applyProtection="1">
      <alignment horizontal="center" vertical="center" wrapText="1"/>
    </xf>
    <xf numFmtId="0" fontId="60" fillId="0" borderId="19" xfId="4" applyFont="1" applyFill="1" applyBorder="1" applyAlignment="1" applyProtection="1">
      <alignment horizontal="center" vertical="center" wrapText="1"/>
    </xf>
    <xf numFmtId="0" fontId="60" fillId="0" borderId="34" xfId="4" applyFont="1" applyFill="1" applyBorder="1" applyAlignment="1" applyProtection="1">
      <alignment horizontal="center" vertical="center" wrapText="1"/>
    </xf>
    <xf numFmtId="0" fontId="32" fillId="0" borderId="14" xfId="4" applyFont="1" applyFill="1" applyBorder="1" applyAlignment="1" applyProtection="1">
      <alignment horizontal="center" vertical="center"/>
    </xf>
    <xf numFmtId="0" fontId="32" fillId="0" borderId="15" xfId="4" applyFont="1" applyFill="1" applyBorder="1" applyAlignment="1" applyProtection="1">
      <alignment horizontal="center" vertical="center"/>
    </xf>
    <xf numFmtId="0" fontId="32" fillId="0" borderId="22" xfId="4" applyFont="1" applyFill="1" applyBorder="1" applyAlignment="1" applyProtection="1">
      <alignment horizontal="center" vertical="center"/>
    </xf>
    <xf numFmtId="0" fontId="32" fillId="0" borderId="23" xfId="4" applyFont="1" applyFill="1" applyBorder="1" applyAlignment="1" applyProtection="1">
      <alignment horizontal="center" vertical="center"/>
    </xf>
    <xf numFmtId="0" fontId="32" fillId="0" borderId="35" xfId="4" applyFont="1" applyFill="1" applyBorder="1" applyAlignment="1" applyProtection="1">
      <alignment horizontal="center" vertical="center"/>
    </xf>
    <xf numFmtId="0" fontId="13" fillId="0" borderId="24" xfId="0" applyFont="1" applyBorder="1" applyAlignment="1">
      <alignment wrapText="1"/>
    </xf>
    <xf numFmtId="0" fontId="15" fillId="0" borderId="8" xfId="0" applyFont="1" applyBorder="1" applyAlignment="1">
      <alignment wrapText="1"/>
    </xf>
    <xf numFmtId="3" fontId="15" fillId="0" borderId="8" xfId="0" applyNumberFormat="1" applyFont="1" applyBorder="1" applyAlignment="1">
      <alignment horizontal="center"/>
    </xf>
    <xf numFmtId="166" fontId="13" fillId="0" borderId="10" xfId="1" applyNumberFormat="1" applyFont="1" applyBorder="1"/>
    <xf numFmtId="166" fontId="13" fillId="0" borderId="11" xfId="1" applyNumberFormat="1" applyFont="1" applyBorder="1"/>
    <xf numFmtId="166" fontId="13" fillId="0" borderId="12" xfId="1" applyNumberFormat="1" applyFont="1" applyBorder="1"/>
    <xf numFmtId="3" fontId="13" fillId="0" borderId="13" xfId="0" applyNumberFormat="1" applyFont="1" applyBorder="1" applyAlignment="1">
      <alignment horizontal="center"/>
    </xf>
    <xf numFmtId="166" fontId="13" fillId="0" borderId="36" xfId="1" applyNumberFormat="1" applyFont="1" applyBorder="1" applyAlignment="1">
      <alignment horizontal="center"/>
    </xf>
    <xf numFmtId="166" fontId="13" fillId="0" borderId="37" xfId="1" applyNumberFormat="1" applyFont="1" applyBorder="1" applyAlignment="1">
      <alignment horizontal="center"/>
    </xf>
    <xf numFmtId="3" fontId="13" fillId="0" borderId="21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1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166" fontId="15" fillId="0" borderId="8" xfId="1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6" fontId="13" fillId="0" borderId="1" xfId="1" applyNumberFormat="1" applyFont="1" applyBorder="1" applyAlignment="1">
      <alignment horizontal="center"/>
    </xf>
    <xf numFmtId="3" fontId="15" fillId="0" borderId="0" xfId="0" applyNumberFormat="1" applyFont="1" applyFill="1" applyBorder="1"/>
    <xf numFmtId="3" fontId="5" fillId="0" borderId="0" xfId="0" applyNumberFormat="1" applyFont="1" applyFill="1" applyBorder="1"/>
    <xf numFmtId="166" fontId="13" fillId="0" borderId="38" xfId="1" applyNumberFormat="1" applyFont="1" applyBorder="1"/>
    <xf numFmtId="166" fontId="61" fillId="0" borderId="13" xfId="1" applyNumberFormat="1" applyFont="1" applyFill="1" applyBorder="1"/>
    <xf numFmtId="166" fontId="61" fillId="0" borderId="39" xfId="1" applyNumberFormat="1" applyFont="1" applyFill="1" applyBorder="1"/>
    <xf numFmtId="166" fontId="61" fillId="0" borderId="32" xfId="1" applyNumberFormat="1" applyFont="1" applyFill="1" applyBorder="1"/>
    <xf numFmtId="166" fontId="61" fillId="0" borderId="40" xfId="1" applyNumberFormat="1" applyFont="1" applyFill="1" applyBorder="1"/>
    <xf numFmtId="0" fontId="62" fillId="0" borderId="0" xfId="4" applyFont="1" applyFill="1"/>
    <xf numFmtId="166" fontId="1" fillId="0" borderId="0" xfId="1" applyNumberFormat="1" applyFont="1"/>
    <xf numFmtId="0" fontId="7" fillId="2" borderId="7" xfId="0" applyFont="1" applyFill="1" applyBorder="1" applyAlignment="1">
      <alignment horizontal="center"/>
    </xf>
    <xf numFmtId="166" fontId="64" fillId="0" borderId="0" xfId="1" applyNumberFormat="1" applyFont="1"/>
    <xf numFmtId="0" fontId="64" fillId="0" borderId="0" xfId="0" applyFont="1"/>
    <xf numFmtId="3" fontId="19" fillId="2" borderId="8" xfId="0" applyNumberFormat="1" applyFont="1" applyFill="1" applyBorder="1" applyAlignment="1">
      <alignment horizontal="center" vertical="center"/>
    </xf>
    <xf numFmtId="166" fontId="4" fillId="2" borderId="41" xfId="0" applyNumberFormat="1" applyFont="1" applyFill="1" applyBorder="1"/>
    <xf numFmtId="166" fontId="4" fillId="2" borderId="8" xfId="0" applyNumberFormat="1" applyFont="1" applyFill="1" applyBorder="1"/>
    <xf numFmtId="0" fontId="4" fillId="2" borderId="0" xfId="0" applyFont="1" applyFill="1"/>
    <xf numFmtId="166" fontId="16" fillId="0" borderId="8" xfId="1" applyNumberFormat="1" applyFont="1" applyFill="1" applyBorder="1" applyAlignment="1" applyProtection="1">
      <alignment vertical="center" wrapText="1"/>
    </xf>
    <xf numFmtId="0" fontId="13" fillId="0" borderId="9" xfId="4" applyFont="1" applyFill="1" applyBorder="1" applyAlignment="1" applyProtection="1">
      <alignment horizontal="left" vertical="center" wrapText="1"/>
    </xf>
    <xf numFmtId="166" fontId="13" fillId="0" borderId="27" xfId="1" applyNumberFormat="1" applyFont="1" applyFill="1" applyBorder="1" applyAlignment="1" applyProtection="1">
      <alignment vertical="center" wrapText="1"/>
    </xf>
    <xf numFmtId="0" fontId="15" fillId="0" borderId="27" xfId="4" applyFont="1" applyFill="1" applyBorder="1" applyAlignment="1" applyProtection="1">
      <alignment vertical="center" wrapText="1"/>
    </xf>
    <xf numFmtId="166" fontId="2" fillId="0" borderId="8" xfId="1" applyNumberFormat="1" applyFont="1" applyFill="1" applyBorder="1" applyAlignment="1">
      <alignment horizontal="center"/>
    </xf>
    <xf numFmtId="0" fontId="13" fillId="0" borderId="25" xfId="0" applyFont="1" applyBorder="1" applyAlignment="1">
      <alignment wrapText="1"/>
    </xf>
    <xf numFmtId="3" fontId="86" fillId="0" borderId="0" xfId="0" applyNumberFormat="1" applyFont="1" applyBorder="1"/>
    <xf numFmtId="0" fontId="87" fillId="0" borderId="0" xfId="0" applyFont="1"/>
    <xf numFmtId="3" fontId="65" fillId="0" borderId="0" xfId="0" applyNumberFormat="1" applyFont="1" applyBorder="1"/>
    <xf numFmtId="3" fontId="66" fillId="0" borderId="0" xfId="0" applyNumberFormat="1" applyFont="1" applyBorder="1"/>
    <xf numFmtId="3" fontId="15" fillId="2" borderId="42" xfId="0" applyNumberFormat="1" applyFont="1" applyFill="1" applyBorder="1" applyAlignment="1">
      <alignment vertical="center"/>
    </xf>
    <xf numFmtId="3" fontId="88" fillId="0" borderId="8" xfId="0" applyNumberFormat="1" applyFont="1" applyBorder="1" applyAlignment="1">
      <alignment horizontal="right"/>
    </xf>
    <xf numFmtId="3" fontId="89" fillId="2" borderId="8" xfId="0" applyNumberFormat="1" applyFont="1" applyFill="1" applyBorder="1" applyAlignment="1">
      <alignment horizontal="right"/>
    </xf>
    <xf numFmtId="3" fontId="37" fillId="0" borderId="8" xfId="0" applyNumberFormat="1" applyFont="1" applyBorder="1" applyAlignment="1">
      <alignment horizontal="center"/>
    </xf>
    <xf numFmtId="3" fontId="37" fillId="0" borderId="8" xfId="0" applyNumberFormat="1" applyFont="1" applyBorder="1" applyAlignment="1">
      <alignment horizontal="right"/>
    </xf>
    <xf numFmtId="3" fontId="17" fillId="2" borderId="8" xfId="0" applyNumberFormat="1" applyFont="1" applyFill="1" applyBorder="1" applyAlignment="1">
      <alignment horizontal="right"/>
    </xf>
    <xf numFmtId="3" fontId="67" fillId="2" borderId="4" xfId="0" applyNumberFormat="1" applyFont="1" applyFill="1" applyBorder="1" applyAlignment="1">
      <alignment vertical="center"/>
    </xf>
    <xf numFmtId="3" fontId="68" fillId="0" borderId="0" xfId="0" applyNumberFormat="1" applyFont="1" applyBorder="1"/>
    <xf numFmtId="0" fontId="69" fillId="0" borderId="0" xfId="0" applyFont="1"/>
    <xf numFmtId="3" fontId="16" fillId="0" borderId="8" xfId="0" applyNumberFormat="1" applyFont="1" applyBorder="1" applyAlignment="1">
      <alignment horizontal="center"/>
    </xf>
    <xf numFmtId="3" fontId="16" fillId="0" borderId="8" xfId="0" applyNumberFormat="1" applyFont="1" applyBorder="1" applyAlignment="1">
      <alignment horizontal="right"/>
    </xf>
    <xf numFmtId="3" fontId="16" fillId="2" borderId="8" xfId="0" applyNumberFormat="1" applyFont="1" applyFill="1" applyBorder="1" applyAlignment="1">
      <alignment horizontal="right"/>
    </xf>
    <xf numFmtId="3" fontId="16" fillId="0" borderId="8" xfId="0" applyNumberFormat="1" applyFont="1" applyBorder="1"/>
    <xf numFmtId="3" fontId="16" fillId="2" borderId="8" xfId="0" applyNumberFormat="1" applyFont="1" applyFill="1" applyBorder="1"/>
    <xf numFmtId="164" fontId="35" fillId="0" borderId="0" xfId="4" applyNumberFormat="1" applyFont="1" applyFill="1" applyBorder="1" applyAlignment="1" applyProtection="1">
      <alignment horizontal="center" vertical="center"/>
    </xf>
    <xf numFmtId="0" fontId="48" fillId="0" borderId="8" xfId="0" applyFont="1" applyBorder="1" applyAlignment="1">
      <alignment horizontal="center"/>
    </xf>
    <xf numFmtId="3" fontId="48" fillId="0" borderId="8" xfId="0" applyNumberFormat="1" applyFont="1" applyBorder="1"/>
    <xf numFmtId="3" fontId="48" fillId="2" borderId="8" xfId="0" applyNumberFormat="1" applyFont="1" applyFill="1" applyBorder="1"/>
    <xf numFmtId="166" fontId="15" fillId="0" borderId="8" xfId="1" applyNumberFormat="1" applyFont="1" applyBorder="1"/>
    <xf numFmtId="166" fontId="13" fillId="0" borderId="25" xfId="1" applyNumberFormat="1" applyFont="1" applyBorder="1"/>
    <xf numFmtId="166" fontId="15" fillId="0" borderId="33" xfId="1" applyNumberFormat="1" applyFont="1" applyBorder="1"/>
    <xf numFmtId="166" fontId="15" fillId="0" borderId="4" xfId="1" applyNumberFormat="1" applyFont="1" applyBorder="1"/>
    <xf numFmtId="0" fontId="15" fillId="0" borderId="20" xfId="4" applyFont="1" applyFill="1" applyBorder="1" applyAlignment="1" applyProtection="1">
      <alignment horizontal="left" vertical="center" wrapText="1" indent="1"/>
    </xf>
    <xf numFmtId="3" fontId="14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6" fillId="0" borderId="0" xfId="0" applyNumberFormat="1" applyFont="1" applyAlignment="1">
      <alignment vertical="center"/>
    </xf>
    <xf numFmtId="166" fontId="70" fillId="0" borderId="43" xfId="1" applyNumberFormat="1" applyFont="1" applyFill="1" applyBorder="1" applyProtection="1"/>
    <xf numFmtId="0" fontId="71" fillId="0" borderId="0" xfId="4" applyFont="1" applyFill="1"/>
    <xf numFmtId="0" fontId="70" fillId="0" borderId="0" xfId="4" applyFont="1" applyFill="1"/>
    <xf numFmtId="9" fontId="70" fillId="0" borderId="8" xfId="1" applyNumberFormat="1" applyFont="1" applyFill="1" applyBorder="1" applyAlignment="1">
      <alignment horizontal="center"/>
    </xf>
    <xf numFmtId="0" fontId="18" fillId="0" borderId="7" xfId="0" applyFont="1" applyBorder="1" applyAlignment="1">
      <alignment horizontal="right"/>
    </xf>
    <xf numFmtId="0" fontId="8" fillId="0" borderId="0" xfId="0" applyFont="1" applyAlignment="1">
      <alignment wrapText="1"/>
    </xf>
    <xf numFmtId="166" fontId="13" fillId="0" borderId="0" xfId="1" applyNumberFormat="1" applyFont="1" applyFill="1" applyBorder="1"/>
    <xf numFmtId="164" fontId="13" fillId="0" borderId="45" xfId="4" applyNumberFormat="1" applyFont="1" applyFill="1" applyBorder="1" applyAlignment="1" applyProtection="1">
      <alignment horizontal="center" vertical="center" wrapText="1"/>
      <protection locked="0"/>
    </xf>
    <xf numFmtId="166" fontId="13" fillId="0" borderId="37" xfId="1" applyNumberFormat="1" applyFont="1" applyFill="1" applyBorder="1" applyAlignment="1">
      <alignment horizontal="center"/>
    </xf>
    <xf numFmtId="166" fontId="13" fillId="0" borderId="36" xfId="1" applyNumberFormat="1" applyFont="1" applyFill="1" applyBorder="1" applyAlignment="1">
      <alignment horizontal="center"/>
    </xf>
    <xf numFmtId="3" fontId="73" fillId="2" borderId="8" xfId="0" applyNumberFormat="1" applyFont="1" applyFill="1" applyBorder="1"/>
    <xf numFmtId="166" fontId="74" fillId="0" borderId="0" xfId="1" applyNumberFormat="1" applyFont="1"/>
    <xf numFmtId="0" fontId="74" fillId="0" borderId="0" xfId="0" applyFont="1"/>
    <xf numFmtId="166" fontId="75" fillId="0" borderId="0" xfId="1" applyNumberFormat="1" applyFont="1"/>
    <xf numFmtId="0" fontId="75" fillId="0" borderId="0" xfId="0" applyFont="1"/>
    <xf numFmtId="166" fontId="47" fillId="0" borderId="0" xfId="1" applyNumberFormat="1" applyFont="1"/>
    <xf numFmtId="0" fontId="0" fillId="0" borderId="0" xfId="0" applyAlignment="1">
      <alignment horizontal="right"/>
    </xf>
    <xf numFmtId="3" fontId="13" fillId="2" borderId="13" xfId="0" applyNumberFormat="1" applyFont="1" applyFill="1" applyBorder="1" applyAlignment="1">
      <alignment horizontal="right"/>
    </xf>
    <xf numFmtId="3" fontId="28" fillId="2" borderId="18" xfId="0" applyNumberFormat="1" applyFont="1" applyFill="1" applyBorder="1"/>
    <xf numFmtId="3" fontId="28" fillId="2" borderId="46" xfId="0" applyNumberFormat="1" applyFont="1" applyFill="1" applyBorder="1"/>
    <xf numFmtId="0" fontId="13" fillId="0" borderId="13" xfId="0" applyFont="1" applyBorder="1"/>
    <xf numFmtId="166" fontId="14" fillId="2" borderId="13" xfId="1" applyNumberFormat="1" applyFont="1" applyFill="1" applyBorder="1"/>
    <xf numFmtId="166" fontId="4" fillId="0" borderId="13" xfId="1" applyNumberFormat="1" applyFont="1" applyBorder="1" applyAlignment="1">
      <alignment horizontal="center"/>
    </xf>
    <xf numFmtId="166" fontId="11" fillId="0" borderId="13" xfId="1" applyNumberFormat="1" applyFont="1" applyBorder="1" applyAlignment="1">
      <alignment horizontal="center"/>
    </xf>
    <xf numFmtId="4" fontId="88" fillId="0" borderId="8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13" fillId="0" borderId="21" xfId="0" applyNumberFormat="1" applyFont="1" applyBorder="1" applyAlignment="1">
      <alignment horizontal="right"/>
    </xf>
    <xf numFmtId="3" fontId="13" fillId="2" borderId="21" xfId="0" applyNumberFormat="1" applyFont="1" applyFill="1" applyBorder="1" applyAlignment="1">
      <alignment horizontal="right"/>
    </xf>
    <xf numFmtId="3" fontId="13" fillId="0" borderId="18" xfId="0" applyNumberFormat="1" applyFont="1" applyBorder="1" applyAlignment="1">
      <alignment horizontal="center"/>
    </xf>
    <xf numFmtId="3" fontId="13" fillId="0" borderId="18" xfId="0" applyNumberFormat="1" applyFont="1" applyBorder="1" applyAlignment="1">
      <alignment horizontal="right"/>
    </xf>
    <xf numFmtId="3" fontId="13" fillId="2" borderId="18" xfId="0" applyNumberFormat="1" applyFont="1" applyFill="1" applyBorder="1" applyAlignment="1">
      <alignment horizontal="right"/>
    </xf>
    <xf numFmtId="166" fontId="13" fillId="0" borderId="8" xfId="1" applyNumberFormat="1" applyFont="1" applyBorder="1" applyAlignment="1">
      <alignment horizontal="center"/>
    </xf>
    <xf numFmtId="0" fontId="76" fillId="0" borderId="11" xfId="0" applyFont="1" applyBorder="1"/>
    <xf numFmtId="0" fontId="76" fillId="0" borderId="11" xfId="0" applyFont="1" applyBorder="1" applyAlignment="1">
      <alignment horizontal="left"/>
    </xf>
    <xf numFmtId="0" fontId="76" fillId="0" borderId="11" xfId="0" applyFont="1" applyBorder="1" applyAlignment="1">
      <alignment wrapText="1"/>
    </xf>
    <xf numFmtId="0" fontId="76" fillId="0" borderId="12" xfId="0" applyFont="1" applyBorder="1"/>
    <xf numFmtId="0" fontId="15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0" fillId="0" borderId="0" xfId="0" applyFont="1"/>
    <xf numFmtId="166" fontId="13" fillId="0" borderId="8" xfId="1" applyNumberFormat="1" applyFont="1" applyBorder="1"/>
    <xf numFmtId="166" fontId="11" fillId="0" borderId="0" xfId="1" applyNumberFormat="1" applyFont="1"/>
    <xf numFmtId="166" fontId="13" fillId="0" borderId="8" xfId="1" applyNumberFormat="1" applyFont="1" applyBorder="1" applyAlignment="1">
      <alignment wrapText="1"/>
    </xf>
    <xf numFmtId="166" fontId="7" fillId="0" borderId="8" xfId="1" applyNumberFormat="1" applyFont="1" applyBorder="1" applyAlignment="1">
      <alignment horizontal="center"/>
    </xf>
    <xf numFmtId="43" fontId="7" fillId="0" borderId="8" xfId="1" applyFont="1" applyBorder="1" applyAlignment="1">
      <alignment horizontal="center"/>
    </xf>
    <xf numFmtId="49" fontId="13" fillId="0" borderId="23" xfId="0" applyNumberFormat="1" applyFont="1" applyFill="1" applyBorder="1" applyAlignment="1">
      <alignment horizontal="center" vertical="center" wrapText="1"/>
    </xf>
    <xf numFmtId="166" fontId="6" fillId="0" borderId="44" xfId="1" applyNumberFormat="1" applyFont="1" applyBorder="1"/>
    <xf numFmtId="166" fontId="5" fillId="0" borderId="13" xfId="1" applyNumberFormat="1" applyFont="1" applyBorder="1"/>
    <xf numFmtId="166" fontId="5" fillId="0" borderId="19" xfId="1" applyNumberFormat="1" applyFont="1" applyBorder="1"/>
    <xf numFmtId="166" fontId="5" fillId="0" borderId="39" xfId="1" applyNumberFormat="1" applyFont="1" applyBorder="1"/>
    <xf numFmtId="166" fontId="5" fillId="0" borderId="32" xfId="1" applyNumberFormat="1" applyFont="1" applyBorder="1"/>
    <xf numFmtId="0" fontId="5" fillId="0" borderId="23" xfId="0" applyFont="1" applyBorder="1"/>
    <xf numFmtId="166" fontId="5" fillId="0" borderId="30" xfId="1" applyNumberFormat="1" applyFont="1" applyBorder="1"/>
    <xf numFmtId="166" fontId="5" fillId="0" borderId="29" xfId="1" applyNumberFormat="1" applyFont="1" applyBorder="1"/>
    <xf numFmtId="166" fontId="5" fillId="0" borderId="48" xfId="1" applyNumberFormat="1" applyFont="1" applyBorder="1"/>
    <xf numFmtId="3" fontId="5" fillId="0" borderId="22" xfId="0" applyNumberFormat="1" applyFont="1" applyBorder="1" applyAlignment="1">
      <alignment wrapText="1"/>
    </xf>
    <xf numFmtId="3" fontId="5" fillId="0" borderId="23" xfId="0" applyNumberFormat="1" applyFont="1" applyBorder="1"/>
    <xf numFmtId="3" fontId="5" fillId="0" borderId="23" xfId="0" applyNumberFormat="1" applyFont="1" applyBorder="1" applyAlignment="1">
      <alignment wrapText="1"/>
    </xf>
    <xf numFmtId="3" fontId="5" fillId="0" borderId="49" xfId="0" applyNumberFormat="1" applyFont="1" applyBorder="1" applyAlignment="1">
      <alignment wrapText="1"/>
    </xf>
    <xf numFmtId="166" fontId="5" fillId="2" borderId="19" xfId="1" applyNumberFormat="1" applyFont="1" applyFill="1" applyBorder="1" applyAlignment="1"/>
    <xf numFmtId="166" fontId="5" fillId="2" borderId="13" xfId="1" applyNumberFormat="1" applyFont="1" applyFill="1" applyBorder="1" applyAlignment="1"/>
    <xf numFmtId="166" fontId="5" fillId="2" borderId="32" xfId="1" applyNumberFormat="1" applyFont="1" applyFill="1" applyBorder="1" applyAlignment="1"/>
    <xf numFmtId="166" fontId="5" fillId="0" borderId="40" xfId="1" applyNumberFormat="1" applyFont="1" applyFill="1" applyBorder="1"/>
    <xf numFmtId="3" fontId="28" fillId="0" borderId="13" xfId="0" applyNumberFormat="1" applyFont="1" applyFill="1" applyBorder="1"/>
    <xf numFmtId="3" fontId="27" fillId="0" borderId="8" xfId="0" applyNumberFormat="1" applyFont="1" applyFill="1" applyBorder="1" applyAlignment="1">
      <alignment wrapText="1"/>
    </xf>
    <xf numFmtId="3" fontId="77" fillId="0" borderId="2" xfId="0" applyNumberFormat="1" applyFont="1" applyFill="1" applyBorder="1" applyAlignment="1">
      <alignment wrapText="1"/>
    </xf>
    <xf numFmtId="3" fontId="28" fillId="0" borderId="14" xfId="0" applyNumberFormat="1" applyFont="1" applyFill="1" applyBorder="1"/>
    <xf numFmtId="3" fontId="28" fillId="0" borderId="15" xfId="0" applyNumberFormat="1" applyFont="1" applyFill="1" applyBorder="1"/>
    <xf numFmtId="3" fontId="77" fillId="0" borderId="18" xfId="0" applyNumberFormat="1" applyFont="1" applyFill="1" applyBorder="1"/>
    <xf numFmtId="3" fontId="77" fillId="2" borderId="18" xfId="0" applyNumberFormat="1" applyFont="1" applyFill="1" applyBorder="1"/>
    <xf numFmtId="3" fontId="77" fillId="0" borderId="13" xfId="0" applyNumberFormat="1" applyFont="1" applyFill="1" applyBorder="1"/>
    <xf numFmtId="3" fontId="77" fillId="2" borderId="13" xfId="0" applyNumberFormat="1" applyFont="1" applyFill="1" applyBorder="1"/>
    <xf numFmtId="3" fontId="78" fillId="0" borderId="21" xfId="0" applyNumberFormat="1" applyFont="1" applyFill="1" applyBorder="1"/>
    <xf numFmtId="3" fontId="78" fillId="2" borderId="21" xfId="0" applyNumberFormat="1" applyFont="1" applyFill="1" applyBorder="1"/>
    <xf numFmtId="3" fontId="28" fillId="0" borderId="21" xfId="0" applyNumberFormat="1" applyFont="1" applyFill="1" applyBorder="1"/>
    <xf numFmtId="3" fontId="77" fillId="0" borderId="21" xfId="0" applyNumberFormat="1" applyFont="1" applyFill="1" applyBorder="1"/>
    <xf numFmtId="3" fontId="77" fillId="2" borderId="21" xfId="0" applyNumberFormat="1" applyFont="1" applyFill="1" applyBorder="1"/>
    <xf numFmtId="3" fontId="77" fillId="0" borderId="13" xfId="0" applyNumberFormat="1" applyFont="1" applyFill="1" applyBorder="1" applyAlignment="1">
      <alignment wrapText="1"/>
    </xf>
    <xf numFmtId="3" fontId="79" fillId="0" borderId="13" xfId="0" applyNumberFormat="1" applyFont="1" applyFill="1" applyBorder="1"/>
    <xf numFmtId="3" fontId="79" fillId="2" borderId="21" xfId="0" applyNumberFormat="1" applyFont="1" applyFill="1" applyBorder="1"/>
    <xf numFmtId="3" fontId="28" fillId="2" borderId="4" xfId="0" applyNumberFormat="1" applyFont="1" applyFill="1" applyBorder="1"/>
    <xf numFmtId="3" fontId="28" fillId="2" borderId="31" xfId="0" applyNumberFormat="1" applyFont="1" applyFill="1" applyBorder="1" applyAlignment="1">
      <alignment wrapText="1"/>
    </xf>
    <xf numFmtId="3" fontId="27" fillId="2" borderId="31" xfId="0" applyNumberFormat="1" applyFont="1" applyFill="1" applyBorder="1" applyAlignment="1">
      <alignment wrapText="1"/>
    </xf>
    <xf numFmtId="3" fontId="79" fillId="2" borderId="19" xfId="0" applyNumberFormat="1" applyFont="1" applyFill="1" applyBorder="1"/>
    <xf numFmtId="3" fontId="80" fillId="2" borderId="13" xfId="0" applyNumberFormat="1" applyFont="1" applyFill="1" applyBorder="1"/>
    <xf numFmtId="3" fontId="78" fillId="2" borderId="13" xfId="0" applyNumberFormat="1" applyFont="1" applyFill="1" applyBorder="1"/>
    <xf numFmtId="3" fontId="80" fillId="2" borderId="32" xfId="0" applyNumberFormat="1" applyFont="1" applyFill="1" applyBorder="1"/>
    <xf numFmtId="3" fontId="80" fillId="2" borderId="13" xfId="0" applyNumberFormat="1" applyFont="1" applyFill="1" applyBorder="1" applyAlignment="1">
      <alignment horizontal="right"/>
    </xf>
    <xf numFmtId="3" fontId="78" fillId="2" borderId="13" xfId="0" applyNumberFormat="1" applyFont="1" applyFill="1" applyBorder="1" applyAlignment="1">
      <alignment horizontal="right"/>
    </xf>
    <xf numFmtId="3" fontId="78" fillId="2" borderId="32" xfId="0" applyNumberFormat="1" applyFont="1" applyFill="1" applyBorder="1"/>
    <xf numFmtId="3" fontId="77" fillId="2" borderId="8" xfId="0" applyNumberFormat="1" applyFont="1" applyFill="1" applyBorder="1" applyAlignment="1">
      <alignment wrapText="1"/>
    </xf>
    <xf numFmtId="3" fontId="80" fillId="2" borderId="50" xfId="0" applyNumberFormat="1" applyFont="1" applyFill="1" applyBorder="1"/>
    <xf numFmtId="3" fontId="80" fillId="2" borderId="15" xfId="0" applyNumberFormat="1" applyFont="1" applyFill="1" applyBorder="1"/>
    <xf numFmtId="3" fontId="78" fillId="2" borderId="15" xfId="0" applyNumberFormat="1" applyFont="1" applyFill="1" applyBorder="1"/>
    <xf numFmtId="3" fontId="78" fillId="2" borderId="16" xfId="0" applyNumberFormat="1" applyFont="1" applyFill="1" applyBorder="1"/>
    <xf numFmtId="166" fontId="13" fillId="0" borderId="44" xfId="1" applyNumberFormat="1" applyFont="1" applyBorder="1"/>
    <xf numFmtId="166" fontId="13" fillId="0" borderId="44" xfId="1" applyNumberFormat="1" applyFont="1" applyFill="1" applyBorder="1"/>
    <xf numFmtId="166" fontId="15" fillId="0" borderId="4" xfId="1" applyNumberFormat="1" applyFont="1" applyBorder="1" applyAlignment="1">
      <alignment horizontal="right"/>
    </xf>
    <xf numFmtId="166" fontId="15" fillId="0" borderId="9" xfId="1" applyNumberFormat="1" applyFont="1" applyBorder="1"/>
    <xf numFmtId="166" fontId="14" fillId="0" borderId="13" xfId="1" applyNumberFormat="1" applyFont="1" applyBorder="1"/>
    <xf numFmtId="166" fontId="14" fillId="0" borderId="39" xfId="1" applyNumberFormat="1" applyFont="1" applyBorder="1"/>
    <xf numFmtId="166" fontId="14" fillId="0" borderId="21" xfId="1" applyNumberFormat="1" applyFont="1" applyBorder="1"/>
    <xf numFmtId="166" fontId="14" fillId="0" borderId="42" xfId="1" applyNumberFormat="1" applyFont="1" applyBorder="1"/>
    <xf numFmtId="166" fontId="14" fillId="0" borderId="32" xfId="1" applyNumberFormat="1" applyFont="1" applyBorder="1"/>
    <xf numFmtId="166" fontId="14" fillId="0" borderId="40" xfId="1" applyNumberFormat="1" applyFont="1" applyBorder="1"/>
    <xf numFmtId="3" fontId="77" fillId="2" borderId="46" xfId="0" applyNumberFormat="1" applyFont="1" applyFill="1" applyBorder="1"/>
    <xf numFmtId="3" fontId="77" fillId="2" borderId="29" xfId="0" applyNumberFormat="1" applyFont="1" applyFill="1" applyBorder="1"/>
    <xf numFmtId="3" fontId="78" fillId="2" borderId="51" xfId="0" applyNumberFormat="1" applyFont="1" applyFill="1" applyBorder="1"/>
    <xf numFmtId="166" fontId="15" fillId="0" borderId="29" xfId="1" applyNumberFormat="1" applyFont="1" applyFill="1" applyBorder="1" applyAlignment="1" applyProtection="1">
      <alignment vertical="center" wrapText="1"/>
    </xf>
    <xf numFmtId="166" fontId="15" fillId="0" borderId="52" xfId="1" applyNumberFormat="1" applyFont="1" applyFill="1" applyBorder="1" applyAlignment="1" applyProtection="1">
      <alignment vertical="center" wrapText="1"/>
    </xf>
    <xf numFmtId="0" fontId="13" fillId="0" borderId="14" xfId="4" applyFont="1" applyFill="1" applyBorder="1" applyAlignment="1" applyProtection="1">
      <alignment horizontal="left" vertical="center" wrapText="1" indent="1"/>
    </xf>
    <xf numFmtId="166" fontId="13" fillId="2" borderId="27" xfId="1" applyNumberFormat="1" applyFont="1" applyFill="1" applyBorder="1" applyAlignment="1" applyProtection="1">
      <alignment vertical="center" wrapText="1"/>
    </xf>
    <xf numFmtId="0" fontId="13" fillId="0" borderId="27" xfId="4" applyFont="1" applyFill="1" applyBorder="1" applyAlignment="1" applyProtection="1">
      <alignment horizontal="left" vertical="center" wrapText="1" indent="1"/>
    </xf>
    <xf numFmtId="166" fontId="13" fillId="0" borderId="8" xfId="1" applyNumberFormat="1" applyFont="1" applyFill="1" applyBorder="1" applyAlignment="1" applyProtection="1">
      <alignment vertical="center" wrapText="1"/>
    </xf>
    <xf numFmtId="0" fontId="37" fillId="0" borderId="19" xfId="4" applyFont="1" applyFill="1" applyBorder="1" applyAlignment="1" applyProtection="1">
      <alignment horizontal="left" vertical="center" wrapText="1" indent="1"/>
    </xf>
    <xf numFmtId="0" fontId="37" fillId="0" borderId="13" xfId="4" applyFont="1" applyFill="1" applyBorder="1" applyAlignment="1" applyProtection="1">
      <alignment horizontal="left" vertical="center" wrapText="1" indent="1"/>
    </xf>
    <xf numFmtId="0" fontId="15" fillId="0" borderId="22" xfId="4" applyFont="1" applyFill="1" applyBorder="1" applyAlignment="1" applyProtection="1">
      <alignment horizontal="left" vertical="center" wrapText="1" indent="1"/>
    </xf>
    <xf numFmtId="166" fontId="15" fillId="0" borderId="30" xfId="1" applyNumberFormat="1" applyFont="1" applyFill="1" applyBorder="1" applyAlignment="1" applyProtection="1">
      <alignment vertical="center" wrapText="1"/>
    </xf>
    <xf numFmtId="0" fontId="15" fillId="0" borderId="23" xfId="4" applyFont="1" applyFill="1" applyBorder="1" applyAlignment="1" applyProtection="1">
      <alignment horizontal="left" vertical="center" wrapText="1" indent="1"/>
    </xf>
    <xf numFmtId="0" fontId="15" fillId="0" borderId="53" xfId="4" applyFont="1" applyFill="1" applyBorder="1" applyAlignment="1" applyProtection="1">
      <alignment horizontal="left" vertical="center" wrapText="1" indent="1"/>
    </xf>
    <xf numFmtId="166" fontId="15" fillId="0" borderId="54" xfId="1" applyNumberFormat="1" applyFont="1" applyFill="1" applyBorder="1" applyAlignment="1" applyProtection="1">
      <alignment vertical="center" wrapText="1"/>
    </xf>
    <xf numFmtId="166" fontId="4" fillId="0" borderId="8" xfId="1" applyNumberFormat="1" applyFont="1" applyBorder="1" applyAlignment="1"/>
    <xf numFmtId="0" fontId="15" fillId="0" borderId="15" xfId="4" applyFont="1" applyFill="1" applyBorder="1" applyAlignment="1" applyProtection="1">
      <alignment horizontal="left" vertical="center" wrapText="1"/>
    </xf>
    <xf numFmtId="0" fontId="15" fillId="0" borderId="14" xfId="4" applyFont="1" applyFill="1" applyBorder="1" applyAlignment="1" applyProtection="1">
      <alignment horizontal="left" vertical="center" wrapText="1"/>
    </xf>
    <xf numFmtId="0" fontId="15" fillId="0" borderId="14" xfId="4" applyFont="1" applyFill="1" applyBorder="1" applyAlignment="1" applyProtection="1">
      <alignment horizontal="left"/>
    </xf>
    <xf numFmtId="0" fontId="15" fillId="0" borderId="55" xfId="4" applyFont="1" applyFill="1" applyBorder="1" applyAlignment="1" applyProtection="1">
      <alignment horizontal="left" vertical="center" wrapText="1"/>
    </xf>
    <xf numFmtId="0" fontId="13" fillId="0" borderId="23" xfId="4" applyFont="1" applyFill="1" applyBorder="1" applyAlignment="1" applyProtection="1">
      <alignment horizontal="left" indent="1"/>
    </xf>
    <xf numFmtId="0" fontId="13" fillId="0" borderId="49" xfId="4" applyFont="1" applyFill="1" applyBorder="1" applyAlignment="1" applyProtection="1">
      <alignment horizontal="left" indent="1"/>
    </xf>
    <xf numFmtId="164" fontId="13" fillId="0" borderId="34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42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39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40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43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4" applyNumberFormat="1" applyFont="1" applyFill="1" applyBorder="1" applyAlignment="1" applyProtection="1">
      <alignment horizontal="center" vertical="center" wrapText="1"/>
    </xf>
    <xf numFmtId="164" fontId="29" fillId="0" borderId="0" xfId="4" applyNumberFormat="1" applyFont="1" applyFill="1" applyBorder="1" applyAlignment="1" applyProtection="1">
      <alignment vertical="center"/>
    </xf>
    <xf numFmtId="166" fontId="29" fillId="0" borderId="0" xfId="1" applyNumberFormat="1" applyFont="1" applyFill="1" applyBorder="1" applyAlignment="1" applyProtection="1">
      <alignment vertical="center"/>
    </xf>
    <xf numFmtId="166" fontId="13" fillId="0" borderId="14" xfId="1" applyNumberFormat="1" applyFont="1" applyFill="1" applyBorder="1" applyAlignment="1" applyProtection="1">
      <alignment vertical="center" wrapText="1"/>
    </xf>
    <xf numFmtId="0" fontId="13" fillId="0" borderId="0" xfId="4" applyFont="1" applyFill="1" applyBorder="1" applyAlignment="1" applyProtection="1">
      <alignment vertical="center"/>
    </xf>
    <xf numFmtId="164" fontId="15" fillId="0" borderId="7" xfId="4" applyNumberFormat="1" applyFont="1" applyFill="1" applyBorder="1" applyAlignment="1" applyProtection="1">
      <alignment vertical="center"/>
    </xf>
    <xf numFmtId="166" fontId="16" fillId="0" borderId="7" xfId="1" applyNumberFormat="1" applyFont="1" applyFill="1" applyBorder="1" applyAlignment="1" applyProtection="1"/>
    <xf numFmtId="166" fontId="13" fillId="0" borderId="51" xfId="1" applyNumberFormat="1" applyFont="1" applyFill="1" applyBorder="1" applyAlignment="1" applyProtection="1">
      <alignment vertical="center" wrapText="1"/>
    </xf>
    <xf numFmtId="166" fontId="15" fillId="0" borderId="15" xfId="1" applyNumberFormat="1" applyFont="1" applyFill="1" applyBorder="1" applyAlignment="1" applyProtection="1">
      <alignment vertical="center" wrapText="1"/>
    </xf>
    <xf numFmtId="166" fontId="15" fillId="0" borderId="27" xfId="1" applyNumberFormat="1" applyFont="1" applyFill="1" applyBorder="1" applyAlignment="1" applyProtection="1"/>
    <xf numFmtId="166" fontId="13" fillId="0" borderId="13" xfId="1" applyNumberFormat="1" applyFont="1" applyFill="1" applyBorder="1" applyAlignment="1" applyProtection="1"/>
    <xf numFmtId="166" fontId="13" fillId="0" borderId="46" xfId="1" applyNumberFormat="1" applyFont="1" applyFill="1" applyBorder="1" applyAlignment="1" applyProtection="1">
      <alignment vertical="center" wrapText="1"/>
    </xf>
    <xf numFmtId="0" fontId="0" fillId="0" borderId="0" xfId="0" applyAlignment="1"/>
    <xf numFmtId="166" fontId="1" fillId="0" borderId="0" xfId="1" applyNumberFormat="1" applyFont="1" applyAlignment="1"/>
    <xf numFmtId="3" fontId="78" fillId="2" borderId="56" xfId="0" applyNumberFormat="1" applyFont="1" applyFill="1" applyBorder="1"/>
    <xf numFmtId="3" fontId="78" fillId="2" borderId="52" xfId="0" applyNumberFormat="1" applyFont="1" applyFill="1" applyBorder="1"/>
    <xf numFmtId="3" fontId="79" fillId="2" borderId="57" xfId="0" applyNumberFormat="1" applyFont="1" applyFill="1" applyBorder="1"/>
    <xf numFmtId="3" fontId="79" fillId="2" borderId="56" xfId="0" applyNumberFormat="1" applyFont="1" applyFill="1" applyBorder="1"/>
    <xf numFmtId="3" fontId="78" fillId="2" borderId="14" xfId="0" applyNumberFormat="1" applyFont="1" applyFill="1" applyBorder="1" applyAlignment="1">
      <alignment wrapText="1"/>
    </xf>
    <xf numFmtId="0" fontId="39" fillId="0" borderId="0" xfId="0" applyFont="1"/>
    <xf numFmtId="0" fontId="81" fillId="0" borderId="11" xfId="0" applyFont="1" applyBorder="1"/>
    <xf numFmtId="0" fontId="81" fillId="0" borderId="11" xfId="0" applyFont="1" applyBorder="1" applyAlignment="1">
      <alignment wrapText="1"/>
    </xf>
    <xf numFmtId="0" fontId="81" fillId="0" borderId="12" xfId="0" applyFont="1" applyBorder="1"/>
    <xf numFmtId="0" fontId="7" fillId="2" borderId="8" xfId="0" applyFont="1" applyFill="1" applyBorder="1"/>
    <xf numFmtId="1" fontId="15" fillId="0" borderId="28" xfId="0" applyNumberFormat="1" applyFont="1" applyFill="1" applyBorder="1" applyAlignment="1">
      <alignment horizontal="center" vertical="center" wrapText="1"/>
    </xf>
    <xf numFmtId="3" fontId="13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3" xfId="0" applyFont="1" applyFill="1" applyBorder="1" applyAlignment="1" applyProtection="1">
      <alignment vertical="center" wrapText="1"/>
      <protection locked="0"/>
    </xf>
    <xf numFmtId="164" fontId="2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82" fillId="0" borderId="13" xfId="0" applyFont="1" applyFill="1" applyBorder="1" applyAlignment="1" applyProtection="1">
      <alignment vertical="center" wrapTex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3" fillId="0" borderId="13" xfId="0" applyNumberFormat="1" applyFont="1" applyFill="1" applyBorder="1" applyAlignment="1">
      <alignment horizontal="right" vertical="center" wrapText="1"/>
    </xf>
    <xf numFmtId="0" fontId="18" fillId="0" borderId="13" xfId="0" applyFont="1" applyFill="1" applyBorder="1" applyAlignment="1" applyProtection="1">
      <alignment horizontal="center" vertical="center" wrapText="1"/>
      <protection locked="0"/>
    </xf>
    <xf numFmtId="0" fontId="13" fillId="0" borderId="35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 applyProtection="1">
      <alignment vertical="center" wrapText="1"/>
      <protection locked="0"/>
    </xf>
    <xf numFmtId="164" fontId="2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 applyProtection="1">
      <alignment vertical="center" wrapText="1"/>
      <protection locked="0"/>
    </xf>
    <xf numFmtId="164" fontId="25" fillId="0" borderId="59" xfId="0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39" xfId="0" applyNumberFormat="1" applyFont="1" applyFill="1" applyBorder="1" applyAlignment="1">
      <alignment horizontal="right" vertical="center" wrapText="1"/>
    </xf>
    <xf numFmtId="3" fontId="13" fillId="0" borderId="39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 applyProtection="1">
      <alignment vertical="center" wrapText="1"/>
      <protection locked="0"/>
    </xf>
    <xf numFmtId="164" fontId="25" fillId="0" borderId="6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61" xfId="0" applyNumberFormat="1" applyFont="1" applyFill="1" applyBorder="1" applyAlignment="1" applyProtection="1">
      <alignment horizontal="right" vertical="center" wrapText="1" indent="1"/>
      <protection locked="0"/>
    </xf>
    <xf numFmtId="43" fontId="7" fillId="0" borderId="0" xfId="1" applyFont="1" applyBorder="1" applyAlignment="1">
      <alignment horizontal="center"/>
    </xf>
    <xf numFmtId="0" fontId="14" fillId="0" borderId="13" xfId="0" applyFont="1" applyBorder="1"/>
    <xf numFmtId="166" fontId="5" fillId="0" borderId="60" xfId="1" applyNumberFormat="1" applyFont="1" applyBorder="1"/>
    <xf numFmtId="0" fontId="5" fillId="0" borderId="58" xfId="0" applyFont="1" applyBorder="1"/>
    <xf numFmtId="0" fontId="5" fillId="0" borderId="24" xfId="0" applyFont="1" applyBorder="1" applyAlignment="1">
      <alignment wrapText="1"/>
    </xf>
    <xf numFmtId="0" fontId="5" fillId="0" borderId="24" xfId="0" applyFont="1" applyBorder="1"/>
    <xf numFmtId="0" fontId="5" fillId="0" borderId="44" xfId="0" applyFont="1" applyBorder="1"/>
    <xf numFmtId="0" fontId="60" fillId="0" borderId="0" xfId="4" applyFont="1" applyFill="1" applyBorder="1" applyAlignment="1" applyProtection="1">
      <alignment horizontal="center" vertical="center" wrapText="1"/>
    </xf>
    <xf numFmtId="0" fontId="55" fillId="0" borderId="0" xfId="4" applyFont="1" applyFill="1" applyBorder="1"/>
    <xf numFmtId="166" fontId="70" fillId="0" borderId="8" xfId="1" applyNumberFormat="1" applyFont="1" applyFill="1" applyBorder="1"/>
    <xf numFmtId="166" fontId="13" fillId="0" borderId="46" xfId="1" applyNumberFormat="1" applyFont="1" applyFill="1" applyBorder="1" applyAlignment="1" applyProtection="1">
      <alignment vertical="center" wrapText="1"/>
      <protection locked="0"/>
    </xf>
    <xf numFmtId="166" fontId="13" fillId="0" borderId="29" xfId="1" applyNumberFormat="1" applyFont="1" applyFill="1" applyBorder="1" applyAlignment="1" applyProtection="1">
      <alignment vertical="center" wrapText="1"/>
      <protection locked="0"/>
    </xf>
    <xf numFmtId="166" fontId="37" fillId="0" borderId="29" xfId="1" applyNumberFormat="1" applyFont="1" applyFill="1" applyBorder="1" applyAlignment="1" applyProtection="1">
      <alignment vertical="center" wrapText="1"/>
    </xf>
    <xf numFmtId="166" fontId="37" fillId="0" borderId="58" xfId="1" applyNumberFormat="1" applyFont="1" applyFill="1" applyBorder="1" applyAlignment="1" applyProtection="1">
      <alignment vertical="center" wrapText="1"/>
    </xf>
    <xf numFmtId="166" fontId="13" fillId="0" borderId="38" xfId="1" applyNumberFormat="1" applyFont="1" applyFill="1" applyBorder="1" applyAlignment="1" applyProtection="1">
      <alignment vertical="center" wrapText="1"/>
      <protection locked="0"/>
    </xf>
    <xf numFmtId="166" fontId="13" fillId="0" borderId="24" xfId="1" applyNumberFormat="1" applyFont="1" applyFill="1" applyBorder="1" applyAlignment="1" applyProtection="1">
      <alignment vertical="center" wrapText="1"/>
      <protection locked="0"/>
    </xf>
    <xf numFmtId="166" fontId="37" fillId="0" borderId="24" xfId="1" applyNumberFormat="1" applyFont="1" applyFill="1" applyBorder="1" applyAlignment="1" applyProtection="1">
      <alignment vertical="center" wrapText="1"/>
      <protection locked="0"/>
    </xf>
    <xf numFmtId="166" fontId="13" fillId="0" borderId="44" xfId="1" applyNumberFormat="1" applyFont="1" applyFill="1" applyBorder="1" applyAlignment="1" applyProtection="1">
      <alignment vertical="center" wrapText="1"/>
      <protection locked="0"/>
    </xf>
    <xf numFmtId="166" fontId="15" fillId="0" borderId="58" xfId="1" applyNumberFormat="1" applyFont="1" applyFill="1" applyBorder="1" applyAlignment="1" applyProtection="1">
      <alignment vertical="center" wrapText="1"/>
      <protection locked="0"/>
    </xf>
    <xf numFmtId="166" fontId="15" fillId="0" borderId="24" xfId="1" applyNumberFormat="1" applyFont="1" applyFill="1" applyBorder="1" applyAlignment="1" applyProtection="1">
      <alignment vertical="center" wrapText="1"/>
      <protection locked="0"/>
    </xf>
    <xf numFmtId="166" fontId="13" fillId="0" borderId="8" xfId="1" applyNumberFormat="1" applyFont="1" applyFill="1" applyBorder="1" applyAlignment="1" applyProtection="1">
      <alignment vertical="center" wrapText="1"/>
      <protection locked="0"/>
    </xf>
    <xf numFmtId="0" fontId="37" fillId="0" borderId="21" xfId="4" applyFont="1" applyFill="1" applyBorder="1" applyAlignment="1" applyProtection="1">
      <alignment horizontal="left" vertical="center" wrapText="1" indent="1"/>
    </xf>
    <xf numFmtId="166" fontId="37" fillId="0" borderId="51" xfId="1" applyNumberFormat="1" applyFont="1" applyFill="1" applyBorder="1" applyAlignment="1" applyProtection="1">
      <alignment vertical="center" wrapText="1"/>
    </xf>
    <xf numFmtId="166" fontId="37" fillId="0" borderId="25" xfId="1" applyNumberFormat="1" applyFont="1" applyFill="1" applyBorder="1" applyAlignment="1" applyProtection="1">
      <alignment vertical="center" wrapText="1"/>
      <protection locked="0"/>
    </xf>
    <xf numFmtId="0" fontId="13" fillId="0" borderId="18" xfId="4" applyFont="1" applyFill="1" applyBorder="1" applyAlignment="1" applyProtection="1">
      <alignment horizontal="left" vertical="center" wrapText="1" indent="2"/>
    </xf>
    <xf numFmtId="166" fontId="7" fillId="0" borderId="8" xfId="1" applyNumberFormat="1" applyFont="1" applyFill="1" applyBorder="1" applyAlignment="1" applyProtection="1">
      <alignment vertical="center" wrapText="1"/>
    </xf>
    <xf numFmtId="0" fontId="7" fillId="0" borderId="9" xfId="4" applyFont="1" applyFill="1" applyBorder="1" applyAlignment="1" applyProtection="1">
      <alignment horizontal="left" vertical="center" wrapText="1" indent="1"/>
    </xf>
    <xf numFmtId="3" fontId="78" fillId="2" borderId="9" xfId="0" applyNumberFormat="1" applyFont="1" applyFill="1" applyBorder="1" applyAlignment="1">
      <alignment wrapText="1"/>
    </xf>
    <xf numFmtId="3" fontId="79" fillId="2" borderId="15" xfId="0" applyNumberFormat="1" applyFont="1" applyFill="1" applyBorder="1"/>
    <xf numFmtId="0" fontId="81" fillId="0" borderId="22" xfId="0" applyFont="1" applyBorder="1" applyAlignment="1">
      <alignment wrapText="1"/>
    </xf>
    <xf numFmtId="166" fontId="15" fillId="0" borderId="6" xfId="1" applyNumberFormat="1" applyFont="1" applyFill="1" applyBorder="1" applyAlignment="1" applyProtection="1">
      <alignment vertical="center" wrapText="1"/>
    </xf>
    <xf numFmtId="0" fontId="33" fillId="0" borderId="19" xfId="4" applyFont="1" applyFill="1" applyBorder="1" applyAlignment="1" applyProtection="1">
      <alignment wrapText="1"/>
      <protection locked="0"/>
    </xf>
    <xf numFmtId="164" fontId="5" fillId="2" borderId="13" xfId="5" applyNumberFormat="1" applyFont="1" applyFill="1" applyBorder="1" applyAlignment="1" applyProtection="1">
      <alignment vertical="center" wrapText="1"/>
      <protection locked="0"/>
    </xf>
    <xf numFmtId="164" fontId="5" fillId="2" borderId="13" xfId="5" applyNumberFormat="1" applyFont="1" applyFill="1" applyBorder="1" applyAlignment="1">
      <alignment vertical="center" wrapText="1"/>
    </xf>
    <xf numFmtId="164" fontId="5" fillId="2" borderId="32" xfId="5" applyNumberFormat="1" applyFont="1" applyFill="1" applyBorder="1" applyAlignment="1">
      <alignment vertical="center" wrapText="1"/>
    </xf>
    <xf numFmtId="0" fontId="33" fillId="0" borderId="55" xfId="4" applyFont="1" applyFill="1" applyBorder="1" applyAlignment="1">
      <alignment horizontal="center" vertical="center"/>
    </xf>
    <xf numFmtId="0" fontId="58" fillId="0" borderId="56" xfId="4" applyFont="1" applyFill="1" applyBorder="1"/>
    <xf numFmtId="166" fontId="58" fillId="0" borderId="56" xfId="4" applyNumberFormat="1" applyFont="1" applyFill="1" applyBorder="1"/>
    <xf numFmtId="3" fontId="73" fillId="0" borderId="13" xfId="0" applyNumberFormat="1" applyFont="1" applyFill="1" applyBorder="1"/>
    <xf numFmtId="166" fontId="0" fillId="0" borderId="13" xfId="1" applyNumberFormat="1" applyFont="1" applyBorder="1"/>
    <xf numFmtId="0" fontId="48" fillId="0" borderId="2" xfId="0" applyFont="1" applyBorder="1" applyAlignment="1">
      <alignment horizontal="left" vertical="center" wrapText="1"/>
    </xf>
    <xf numFmtId="166" fontId="13" fillId="0" borderId="13" xfId="1" applyNumberFormat="1" applyFont="1" applyBorder="1" applyAlignment="1">
      <alignment horizontal="center"/>
    </xf>
    <xf numFmtId="166" fontId="13" fillId="2" borderId="13" xfId="1" applyNumberFormat="1" applyFont="1" applyFill="1" applyBorder="1" applyAlignment="1">
      <alignment horizontal="center"/>
    </xf>
    <xf numFmtId="166" fontId="13" fillId="2" borderId="29" xfId="1" applyNumberFormat="1" applyFont="1" applyFill="1" applyBorder="1" applyAlignment="1">
      <alignment horizontal="center"/>
    </xf>
    <xf numFmtId="166" fontId="13" fillId="0" borderId="21" xfId="1" applyNumberFormat="1" applyFont="1" applyBorder="1" applyAlignment="1">
      <alignment horizontal="center"/>
    </xf>
    <xf numFmtId="166" fontId="13" fillId="2" borderId="21" xfId="1" applyNumberFormat="1" applyFont="1" applyFill="1" applyBorder="1" applyAlignment="1">
      <alignment horizontal="center"/>
    </xf>
    <xf numFmtId="166" fontId="13" fillId="2" borderId="51" xfId="1" applyNumberFormat="1" applyFont="1" applyFill="1" applyBorder="1" applyAlignment="1">
      <alignment horizontal="center"/>
    </xf>
    <xf numFmtId="0" fontId="14" fillId="0" borderId="58" xfId="0" applyFont="1" applyBorder="1" applyAlignment="1">
      <alignment horizontal="center"/>
    </xf>
    <xf numFmtId="0" fontId="14" fillId="0" borderId="58" xfId="0" applyFont="1" applyBorder="1"/>
    <xf numFmtId="0" fontId="14" fillId="0" borderId="24" xfId="0" applyFont="1" applyBorder="1"/>
    <xf numFmtId="0" fontId="13" fillId="0" borderId="44" xfId="0" applyFont="1" applyBorder="1"/>
    <xf numFmtId="0" fontId="14" fillId="0" borderId="0" xfId="0" applyFont="1"/>
    <xf numFmtId="0" fontId="14" fillId="2" borderId="0" xfId="0" applyFont="1" applyFill="1"/>
    <xf numFmtId="0" fontId="20" fillId="2" borderId="0" xfId="0" applyFont="1" applyFill="1" applyAlignment="1">
      <alignment horizontal="right"/>
    </xf>
    <xf numFmtId="49" fontId="14" fillId="0" borderId="24" xfId="0" applyNumberFormat="1" applyFont="1" applyBorder="1" applyAlignment="1">
      <alignment horizontal="center"/>
    </xf>
    <xf numFmtId="0" fontId="14" fillId="0" borderId="0" xfId="0" applyFont="1" applyBorder="1"/>
    <xf numFmtId="49" fontId="14" fillId="2" borderId="58" xfId="0" applyNumberFormat="1" applyFont="1" applyFill="1" applyBorder="1" applyAlignment="1">
      <alignment horizontal="center"/>
    </xf>
    <xf numFmtId="49" fontId="14" fillId="2" borderId="24" xfId="0" applyNumberFormat="1" applyFont="1" applyFill="1" applyBorder="1" applyAlignment="1">
      <alignment horizontal="center"/>
    </xf>
    <xf numFmtId="49" fontId="14" fillId="0" borderId="0" xfId="5" applyNumberFormat="1" applyFont="1" applyFill="1" applyAlignment="1">
      <alignment horizontal="center" vertical="center" wrapText="1"/>
    </xf>
    <xf numFmtId="164" fontId="14" fillId="0" borderId="0" xfId="5" applyNumberFormat="1" applyFont="1" applyFill="1" applyAlignment="1">
      <alignment vertical="center" wrapText="1"/>
    </xf>
    <xf numFmtId="164" fontId="14" fillId="0" borderId="0" xfId="5" applyNumberFormat="1" applyFont="1" applyFill="1" applyAlignment="1">
      <alignment horizontal="center" vertical="center" wrapText="1"/>
    </xf>
    <xf numFmtId="164" fontId="48" fillId="0" borderId="0" xfId="5" applyNumberFormat="1" applyFont="1" applyFill="1" applyAlignment="1">
      <alignment horizontal="center"/>
    </xf>
    <xf numFmtId="164" fontId="7" fillId="0" borderId="68" xfId="5" applyNumberFormat="1" applyFont="1" applyFill="1" applyBorder="1" applyAlignment="1">
      <alignment horizontal="center" vertical="center"/>
    </xf>
    <xf numFmtId="0" fontId="14" fillId="0" borderId="0" xfId="5" applyFont="1"/>
    <xf numFmtId="0" fontId="63" fillId="0" borderId="0" xfId="5" applyFont="1"/>
    <xf numFmtId="0" fontId="14" fillId="2" borderId="0" xfId="5" applyFont="1" applyFill="1"/>
    <xf numFmtId="0" fontId="17" fillId="0" borderId="13" xfId="4" applyFont="1" applyFill="1" applyBorder="1" applyAlignment="1" applyProtection="1">
      <alignment horizontal="left" vertical="center" wrapText="1" indent="1"/>
    </xf>
    <xf numFmtId="166" fontId="17" fillId="0" borderId="29" xfId="1" applyNumberFormat="1" applyFont="1" applyFill="1" applyBorder="1" applyAlignment="1" applyProtection="1">
      <alignment vertical="center" wrapText="1"/>
      <protection locked="0"/>
    </xf>
    <xf numFmtId="166" fontId="17" fillId="0" borderId="24" xfId="1" applyNumberFormat="1" applyFont="1" applyFill="1" applyBorder="1" applyAlignment="1" applyProtection="1">
      <alignment vertical="center" wrapText="1"/>
      <protection locked="0"/>
    </xf>
    <xf numFmtId="166" fontId="14" fillId="0" borderId="36" xfId="1" applyNumberFormat="1" applyFont="1" applyFill="1" applyBorder="1"/>
    <xf numFmtId="166" fontId="14" fillId="0" borderId="37" xfId="1" applyNumberFormat="1" applyFont="1" applyFill="1" applyBorder="1"/>
    <xf numFmtId="166" fontId="14" fillId="0" borderId="37" xfId="1" applyNumberFormat="1" applyFont="1" applyBorder="1"/>
    <xf numFmtId="166" fontId="14" fillId="0" borderId="60" xfId="1" applyNumberFormat="1" applyFont="1" applyBorder="1"/>
    <xf numFmtId="0" fontId="0" fillId="0" borderId="25" xfId="0" applyBorder="1"/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14" fillId="0" borderId="23" xfId="0" applyFont="1" applyBorder="1"/>
    <xf numFmtId="166" fontId="7" fillId="0" borderId="13" xfId="0" applyNumberFormat="1" applyFont="1" applyBorder="1"/>
    <xf numFmtId="0" fontId="14" fillId="0" borderId="23" xfId="0" applyFont="1" applyBorder="1" applyAlignment="1">
      <alignment wrapText="1"/>
    </xf>
    <xf numFmtId="0" fontId="48" fillId="0" borderId="49" xfId="0" applyFont="1" applyBorder="1"/>
    <xf numFmtId="166" fontId="48" fillId="0" borderId="32" xfId="0" applyNumberFormat="1" applyFont="1" applyBorder="1"/>
    <xf numFmtId="0" fontId="48" fillId="0" borderId="0" xfId="0" applyFont="1"/>
    <xf numFmtId="3" fontId="14" fillId="2" borderId="13" xfId="0" applyNumberFormat="1" applyFont="1" applyFill="1" applyBorder="1"/>
    <xf numFmtId="166" fontId="7" fillId="0" borderId="13" xfId="1" applyNumberFormat="1" applyFont="1" applyBorder="1" applyAlignment="1">
      <alignment horizontal="center"/>
    </xf>
    <xf numFmtId="166" fontId="14" fillId="0" borderId="13" xfId="1" applyNumberFormat="1" applyFont="1" applyBorder="1" applyAlignment="1">
      <alignment horizontal="center"/>
    </xf>
    <xf numFmtId="166" fontId="14" fillId="2" borderId="13" xfId="1" applyNumberFormat="1" applyFont="1" applyFill="1" applyBorder="1" applyAlignment="1"/>
    <xf numFmtId="49" fontId="20" fillId="0" borderId="2" xfId="0" applyNumberFormat="1" applyFont="1" applyFill="1" applyBorder="1"/>
    <xf numFmtId="0" fontId="11" fillId="2" borderId="7" xfId="0" applyFont="1" applyFill="1" applyBorder="1" applyAlignment="1"/>
    <xf numFmtId="166" fontId="11" fillId="0" borderId="0" xfId="1" applyNumberFormat="1" applyFont="1" applyFill="1"/>
    <xf numFmtId="166" fontId="11" fillId="0" borderId="0" xfId="1" applyNumberFormat="1" applyFont="1" applyAlignment="1">
      <alignment horizontal="right"/>
    </xf>
    <xf numFmtId="166" fontId="14" fillId="0" borderId="7" xfId="1" applyNumberFormat="1" applyFont="1" applyBorder="1"/>
    <xf numFmtId="0" fontId="13" fillId="0" borderId="8" xfId="0" applyFont="1" applyBorder="1"/>
    <xf numFmtId="166" fontId="14" fillId="0" borderId="8" xfId="1" applyNumberFormat="1" applyFont="1" applyBorder="1"/>
    <xf numFmtId="0" fontId="5" fillId="0" borderId="23" xfId="0" applyFont="1" applyBorder="1" applyAlignment="1">
      <alignment wrapText="1"/>
    </xf>
    <xf numFmtId="0" fontId="5" fillId="0" borderId="64" xfId="0" applyFont="1" applyBorder="1"/>
    <xf numFmtId="166" fontId="5" fillId="0" borderId="18" xfId="1" applyNumberFormat="1" applyFont="1" applyBorder="1"/>
    <xf numFmtId="3" fontId="6" fillId="0" borderId="55" xfId="0" applyNumberFormat="1" applyFont="1" applyBorder="1"/>
    <xf numFmtId="166" fontId="6" fillId="0" borderId="56" xfId="1" applyNumberFormat="1" applyFont="1" applyBorder="1"/>
    <xf numFmtId="166" fontId="6" fillId="0" borderId="43" xfId="1" applyNumberFormat="1" applyFont="1" applyBorder="1"/>
    <xf numFmtId="3" fontId="5" fillId="0" borderId="49" xfId="0" applyNumberFormat="1" applyFont="1" applyBorder="1"/>
    <xf numFmtId="166" fontId="5" fillId="0" borderId="40" xfId="1" applyNumberFormat="1" applyFont="1" applyBorder="1"/>
    <xf numFmtId="0" fontId="6" fillId="0" borderId="55" xfId="0" applyFont="1" applyBorder="1"/>
    <xf numFmtId="166" fontId="5" fillId="0" borderId="46" xfId="1" applyNumberFormat="1" applyFont="1" applyBorder="1"/>
    <xf numFmtId="3" fontId="41" fillId="0" borderId="23" xfId="0" applyNumberFormat="1" applyFont="1" applyBorder="1" applyAlignment="1">
      <alignment wrapText="1"/>
    </xf>
    <xf numFmtId="0" fontId="5" fillId="0" borderId="22" xfId="0" applyFont="1" applyBorder="1" applyAlignment="1">
      <alignment wrapText="1"/>
    </xf>
    <xf numFmtId="166" fontId="6" fillId="0" borderId="5" xfId="1" applyNumberFormat="1" applyFont="1" applyBorder="1"/>
    <xf numFmtId="3" fontId="6" fillId="0" borderId="2" xfId="0" applyNumberFormat="1" applyFont="1" applyBorder="1"/>
    <xf numFmtId="166" fontId="14" fillId="2" borderId="58" xfId="2" applyNumberFormat="1" applyFont="1" applyFill="1" applyBorder="1"/>
    <xf numFmtId="166" fontId="14" fillId="2" borderId="24" xfId="2" applyNumberFormat="1" applyFont="1" applyFill="1" applyBorder="1"/>
    <xf numFmtId="166" fontId="7" fillId="2" borderId="8" xfId="2" applyNumberFormat="1" applyFont="1" applyFill="1" applyBorder="1" applyAlignment="1">
      <alignment horizontal="right"/>
    </xf>
    <xf numFmtId="166" fontId="7" fillId="2" borderId="6" xfId="2" applyNumberFormat="1" applyFont="1" applyFill="1" applyBorder="1"/>
    <xf numFmtId="166" fontId="14" fillId="0" borderId="24" xfId="2" applyNumberFormat="1" applyFont="1" applyFill="1" applyBorder="1"/>
    <xf numFmtId="166" fontId="5" fillId="0" borderId="34" xfId="1" applyNumberFormat="1" applyFont="1" applyFill="1" applyBorder="1"/>
    <xf numFmtId="166" fontId="5" fillId="0" borderId="39" xfId="1" applyNumberFormat="1" applyFont="1" applyFill="1" applyBorder="1"/>
    <xf numFmtId="0" fontId="91" fillId="0" borderId="58" xfId="4" applyFont="1" applyFill="1" applyBorder="1"/>
    <xf numFmtId="0" fontId="92" fillId="0" borderId="58" xfId="4" applyFont="1" applyFill="1" applyBorder="1"/>
    <xf numFmtId="166" fontId="91" fillId="0" borderId="0" xfId="1" applyNumberFormat="1" applyFont="1" applyFill="1" applyBorder="1"/>
    <xf numFmtId="0" fontId="92" fillId="0" borderId="9" xfId="4" applyFont="1" applyFill="1" applyBorder="1"/>
    <xf numFmtId="0" fontId="92" fillId="0" borderId="8" xfId="4" applyFont="1" applyFill="1" applyBorder="1"/>
    <xf numFmtId="0" fontId="92" fillId="0" borderId="41" xfId="4" applyFont="1" applyFill="1" applyBorder="1"/>
    <xf numFmtId="0" fontId="92" fillId="0" borderId="33" xfId="4" applyFont="1" applyFill="1" applyBorder="1"/>
    <xf numFmtId="166" fontId="95" fillId="0" borderId="41" xfId="1" applyNumberFormat="1" applyFont="1" applyFill="1" applyBorder="1" applyAlignment="1">
      <alignment horizontal="center" vertical="center"/>
    </xf>
    <xf numFmtId="166" fontId="95" fillId="0" borderId="8" xfId="1" applyNumberFormat="1" applyFont="1" applyFill="1" applyBorder="1" applyAlignment="1">
      <alignment horizontal="center" vertical="center"/>
    </xf>
    <xf numFmtId="166" fontId="25" fillId="0" borderId="41" xfId="1" applyNumberFormat="1" applyFont="1" applyFill="1" applyBorder="1" applyAlignment="1">
      <alignment horizontal="center" vertical="center"/>
    </xf>
    <xf numFmtId="166" fontId="25" fillId="0" borderId="8" xfId="1" applyNumberFormat="1" applyFont="1" applyFill="1" applyBorder="1" applyAlignment="1">
      <alignment horizontal="center" vertical="center"/>
    </xf>
    <xf numFmtId="166" fontId="91" fillId="0" borderId="6" xfId="1" applyNumberFormat="1" applyFont="1" applyFill="1" applyBorder="1"/>
    <xf numFmtId="3" fontId="38" fillId="0" borderId="0" xfId="0" applyNumberFormat="1" applyFont="1"/>
    <xf numFmtId="3" fontId="77" fillId="0" borderId="11" xfId="0" applyNumberFormat="1" applyFont="1" applyFill="1" applyBorder="1" applyAlignment="1">
      <alignment wrapText="1"/>
    </xf>
    <xf numFmtId="3" fontId="78" fillId="0" borderId="12" xfId="0" applyNumberFormat="1" applyFont="1" applyFill="1" applyBorder="1" applyAlignment="1">
      <alignment wrapText="1"/>
    </xf>
    <xf numFmtId="3" fontId="27" fillId="0" borderId="12" xfId="0" applyNumberFormat="1" applyFont="1" applyFill="1" applyBorder="1" applyAlignment="1">
      <alignment wrapText="1"/>
    </xf>
    <xf numFmtId="3" fontId="77" fillId="0" borderId="12" xfId="0" applyNumberFormat="1" applyFont="1" applyFill="1" applyBorder="1" applyAlignment="1">
      <alignment wrapText="1"/>
    </xf>
    <xf numFmtId="3" fontId="77" fillId="2" borderId="59" xfId="0" applyNumberFormat="1" applyFont="1" applyFill="1" applyBorder="1"/>
    <xf numFmtId="3" fontId="77" fillId="2" borderId="36" xfId="0" applyNumberFormat="1" applyFont="1" applyFill="1" applyBorder="1"/>
    <xf numFmtId="3" fontId="78" fillId="2" borderId="37" xfId="0" applyNumberFormat="1" applyFont="1" applyFill="1" applyBorder="1"/>
    <xf numFmtId="3" fontId="28" fillId="0" borderId="42" xfId="0" applyNumberFormat="1" applyFont="1" applyFill="1" applyBorder="1"/>
    <xf numFmtId="3" fontId="28" fillId="0" borderId="17" xfId="0" applyNumberFormat="1" applyFont="1" applyFill="1" applyBorder="1"/>
    <xf numFmtId="3" fontId="28" fillId="0" borderId="20" xfId="0" applyNumberFormat="1" applyFont="1" applyFill="1" applyBorder="1"/>
    <xf numFmtId="3" fontId="78" fillId="0" borderId="13" xfId="0" applyNumberFormat="1" applyFont="1" applyFill="1" applyBorder="1"/>
    <xf numFmtId="3" fontId="28" fillId="0" borderId="18" xfId="0" applyNumberFormat="1" applyFont="1" applyFill="1" applyBorder="1"/>
    <xf numFmtId="3" fontId="28" fillId="0" borderId="16" xfId="0" applyNumberFormat="1" applyFont="1" applyFill="1" applyBorder="1"/>
    <xf numFmtId="3" fontId="27" fillId="0" borderId="9" xfId="0" applyNumberFormat="1" applyFont="1" applyFill="1" applyBorder="1" applyAlignment="1">
      <alignment wrapText="1"/>
    </xf>
    <xf numFmtId="3" fontId="28" fillId="0" borderId="28" xfId="0" applyNumberFormat="1" applyFont="1" applyFill="1" applyBorder="1"/>
    <xf numFmtId="3" fontId="77" fillId="0" borderId="51" xfId="0" applyNumberFormat="1" applyFont="1" applyFill="1" applyBorder="1" applyAlignment="1">
      <alignment wrapText="1"/>
    </xf>
    <xf numFmtId="3" fontId="67" fillId="0" borderId="20" xfId="0" applyNumberFormat="1" applyFont="1" applyFill="1" applyBorder="1"/>
    <xf numFmtId="3" fontId="79" fillId="2" borderId="13" xfId="0" applyNumberFormat="1" applyFont="1" applyFill="1" applyBorder="1"/>
    <xf numFmtId="3" fontId="80" fillId="0" borderId="13" xfId="0" applyNumberFormat="1" applyFont="1" applyFill="1" applyBorder="1"/>
    <xf numFmtId="3" fontId="78" fillId="0" borderId="19" xfId="0" applyNumberFormat="1" applyFont="1" applyFill="1" applyBorder="1"/>
    <xf numFmtId="3" fontId="67" fillId="2" borderId="19" xfId="0" applyNumberFormat="1" applyFont="1" applyFill="1" applyBorder="1"/>
    <xf numFmtId="3" fontId="28" fillId="0" borderId="19" xfId="0" applyNumberFormat="1" applyFont="1" applyFill="1" applyBorder="1"/>
    <xf numFmtId="3" fontId="28" fillId="0" borderId="34" xfId="0" applyNumberFormat="1" applyFont="1" applyFill="1" applyBorder="1"/>
    <xf numFmtId="3" fontId="28" fillId="0" borderId="39" xfId="0" applyNumberFormat="1" applyFont="1" applyFill="1" applyBorder="1"/>
    <xf numFmtId="3" fontId="28" fillId="2" borderId="15" xfId="0" applyNumberFormat="1" applyFont="1" applyFill="1" applyBorder="1"/>
    <xf numFmtId="3" fontId="27" fillId="0" borderId="14" xfId="0" applyNumberFormat="1" applyFont="1" applyFill="1" applyBorder="1" applyAlignment="1">
      <alignment wrapText="1"/>
    </xf>
    <xf numFmtId="3" fontId="28" fillId="2" borderId="27" xfId="0" applyNumberFormat="1" applyFont="1" applyFill="1" applyBorder="1"/>
    <xf numFmtId="3" fontId="77" fillId="0" borderId="18" xfId="0" applyNumberFormat="1" applyFont="1" applyFill="1" applyBorder="1" applyAlignment="1">
      <alignment wrapText="1"/>
    </xf>
    <xf numFmtId="3" fontId="28" fillId="2" borderId="33" xfId="0" applyNumberFormat="1" applyFont="1" applyFill="1" applyBorder="1"/>
    <xf numFmtId="3" fontId="28" fillId="2" borderId="69" xfId="0" applyNumberFormat="1" applyFont="1" applyFill="1" applyBorder="1"/>
    <xf numFmtId="3" fontId="73" fillId="2" borderId="6" xfId="0" applyNumberFormat="1" applyFont="1" applyFill="1" applyBorder="1"/>
    <xf numFmtId="3" fontId="77" fillId="2" borderId="3" xfId="0" applyNumberFormat="1" applyFont="1" applyFill="1" applyBorder="1" applyAlignment="1">
      <alignment wrapText="1"/>
    </xf>
    <xf numFmtId="3" fontId="78" fillId="2" borderId="3" xfId="0" applyNumberFormat="1" applyFont="1" applyFill="1" applyBorder="1" applyAlignment="1">
      <alignment wrapText="1"/>
    </xf>
    <xf numFmtId="3" fontId="79" fillId="2" borderId="22" xfId="0" applyNumberFormat="1" applyFont="1" applyFill="1" applyBorder="1"/>
    <xf numFmtId="3" fontId="79" fillId="2" borderId="34" xfId="0" applyNumberFormat="1" applyFont="1" applyFill="1" applyBorder="1"/>
    <xf numFmtId="3" fontId="80" fillId="2" borderId="23" xfId="0" applyNumberFormat="1" applyFont="1" applyFill="1" applyBorder="1"/>
    <xf numFmtId="3" fontId="80" fillId="2" borderId="39" xfId="0" applyNumberFormat="1" applyFont="1" applyFill="1" applyBorder="1"/>
    <xf numFmtId="3" fontId="78" fillId="2" borderId="39" xfId="0" applyNumberFormat="1" applyFont="1" applyFill="1" applyBorder="1"/>
    <xf numFmtId="3" fontId="78" fillId="2" borderId="39" xfId="0" applyNumberFormat="1" applyFont="1" applyFill="1" applyBorder="1" applyAlignment="1">
      <alignment horizontal="right"/>
    </xf>
    <xf numFmtId="3" fontId="78" fillId="2" borderId="40" xfId="0" applyNumberFormat="1" applyFont="1" applyFill="1" applyBorder="1"/>
    <xf numFmtId="3" fontId="80" fillId="2" borderId="36" xfId="0" applyNumberFormat="1" applyFont="1" applyFill="1" applyBorder="1"/>
    <xf numFmtId="3" fontId="78" fillId="2" borderId="26" xfId="0" applyNumberFormat="1" applyFont="1" applyFill="1" applyBorder="1" applyAlignment="1">
      <alignment wrapText="1"/>
    </xf>
    <xf numFmtId="3" fontId="77" fillId="2" borderId="31" xfId="0" applyNumberFormat="1" applyFont="1" applyFill="1" applyBorder="1" applyAlignment="1">
      <alignment wrapText="1"/>
    </xf>
    <xf numFmtId="0" fontId="81" fillId="0" borderId="35" xfId="0" applyFont="1" applyBorder="1" applyAlignment="1">
      <alignment wrapText="1"/>
    </xf>
    <xf numFmtId="166" fontId="14" fillId="2" borderId="21" xfId="1" applyNumberFormat="1" applyFont="1" applyFill="1" applyBorder="1"/>
    <xf numFmtId="0" fontId="15" fillId="2" borderId="8" xfId="0" applyFont="1" applyFill="1" applyBorder="1"/>
    <xf numFmtId="166" fontId="14" fillId="2" borderId="18" xfId="1" applyNumberFormat="1" applyFont="1" applyFill="1" applyBorder="1"/>
    <xf numFmtId="166" fontId="4" fillId="2" borderId="9" xfId="0" applyNumberFormat="1" applyFont="1" applyFill="1" applyBorder="1"/>
    <xf numFmtId="166" fontId="14" fillId="2" borderId="46" xfId="1" applyNumberFormat="1" applyFont="1" applyFill="1" applyBorder="1"/>
    <xf numFmtId="166" fontId="14" fillId="2" borderId="51" xfId="1" applyNumberFormat="1" applyFont="1" applyFill="1" applyBorder="1"/>
    <xf numFmtId="166" fontId="4" fillId="0" borderId="58" xfId="1" applyNumberFormat="1" applyFont="1" applyBorder="1" applyAlignment="1">
      <alignment horizontal="center"/>
    </xf>
    <xf numFmtId="0" fontId="13" fillId="0" borderId="18" xfId="0" applyFont="1" applyBorder="1"/>
    <xf numFmtId="0" fontId="13" fillId="0" borderId="21" xfId="0" applyFont="1" applyBorder="1"/>
    <xf numFmtId="166" fontId="4" fillId="0" borderId="21" xfId="1" applyNumberFormat="1" applyFont="1" applyBorder="1" applyAlignment="1">
      <alignment horizontal="center"/>
    </xf>
    <xf numFmtId="166" fontId="0" fillId="0" borderId="21" xfId="1" applyNumberFormat="1" applyFont="1" applyBorder="1"/>
    <xf numFmtId="0" fontId="16" fillId="0" borderId="14" xfId="0" applyFont="1" applyBorder="1"/>
    <xf numFmtId="166" fontId="48" fillId="2" borderId="15" xfId="1" applyNumberFormat="1" applyFont="1" applyFill="1" applyBorder="1"/>
    <xf numFmtId="166" fontId="0" fillId="0" borderId="29" xfId="1" applyNumberFormat="1" applyFont="1" applyBorder="1"/>
    <xf numFmtId="166" fontId="0" fillId="0" borderId="51" xfId="1" applyNumberFormat="1" applyFont="1" applyBorder="1"/>
    <xf numFmtId="166" fontId="48" fillId="2" borderId="27" xfId="1" applyNumberFormat="1" applyFont="1" applyFill="1" applyBorder="1"/>
    <xf numFmtId="166" fontId="4" fillId="0" borderId="24" xfId="0" applyNumberFormat="1" applyFont="1" applyBorder="1"/>
    <xf numFmtId="166" fontId="4" fillId="0" borderId="25" xfId="0" applyNumberFormat="1" applyFont="1" applyBorder="1"/>
    <xf numFmtId="166" fontId="4" fillId="0" borderId="8" xfId="0" applyNumberFormat="1" applyFont="1" applyBorder="1"/>
    <xf numFmtId="0" fontId="0" fillId="0" borderId="8" xfId="0" applyBorder="1"/>
    <xf numFmtId="166" fontId="13" fillId="0" borderId="18" xfId="1" applyNumberFormat="1" applyFont="1" applyFill="1" applyBorder="1"/>
    <xf numFmtId="166" fontId="23" fillId="0" borderId="18" xfId="1" applyNumberFormat="1" applyFont="1" applyBorder="1"/>
    <xf numFmtId="166" fontId="11" fillId="0" borderId="18" xfId="1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6" xfId="0" applyBorder="1"/>
    <xf numFmtId="166" fontId="0" fillId="0" borderId="38" xfId="0" applyNumberFormat="1" applyBorder="1"/>
    <xf numFmtId="0" fontId="15" fillId="0" borderId="62" xfId="0" applyFont="1" applyBorder="1" applyAlignment="1">
      <alignment horizontal="center" vertical="center" wrapText="1"/>
    </xf>
    <xf numFmtId="0" fontId="53" fillId="0" borderId="64" xfId="0" applyFont="1" applyBorder="1" applyAlignment="1">
      <alignment wrapText="1"/>
    </xf>
    <xf numFmtId="0" fontId="53" fillId="0" borderId="35" xfId="0" applyFont="1" applyBorder="1" applyAlignment="1">
      <alignment wrapText="1"/>
    </xf>
    <xf numFmtId="166" fontId="14" fillId="0" borderId="21" xfId="1" applyNumberFormat="1" applyFont="1" applyFill="1" applyBorder="1"/>
    <xf numFmtId="166" fontId="2" fillId="0" borderId="21" xfId="1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1" xfId="0" applyBorder="1"/>
    <xf numFmtId="0" fontId="7" fillId="0" borderId="14" xfId="0" applyFont="1" applyBorder="1"/>
    <xf numFmtId="166" fontId="7" fillId="0" borderId="15" xfId="1" applyNumberFormat="1" applyFont="1" applyFill="1" applyBorder="1"/>
    <xf numFmtId="166" fontId="7" fillId="2" borderId="15" xfId="1" applyNumberFormat="1" applyFont="1" applyFill="1" applyBorder="1"/>
    <xf numFmtId="166" fontId="7" fillId="2" borderId="15" xfId="1" applyNumberFormat="1" applyFont="1" applyFill="1" applyBorder="1" applyAlignment="1">
      <alignment horizontal="center"/>
    </xf>
    <xf numFmtId="166" fontId="7" fillId="2" borderId="15" xfId="1" applyNumberFormat="1" applyFont="1" applyFill="1" applyBorder="1" applyAlignment="1"/>
    <xf numFmtId="166" fontId="7" fillId="2" borderId="27" xfId="1" applyNumberFormat="1" applyFont="1" applyFill="1" applyBorder="1" applyAlignment="1"/>
    <xf numFmtId="0" fontId="90" fillId="0" borderId="26" xfId="4" applyFont="1" applyFill="1" applyBorder="1" applyAlignment="1" applyProtection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3" fontId="27" fillId="0" borderId="26" xfId="0" applyNumberFormat="1" applyFont="1" applyFill="1" applyBorder="1" applyAlignment="1">
      <alignment wrapText="1"/>
    </xf>
    <xf numFmtId="3" fontId="27" fillId="0" borderId="31" xfId="0" applyNumberFormat="1" applyFont="1" applyFill="1" applyBorder="1" applyAlignment="1">
      <alignment wrapText="1"/>
    </xf>
    <xf numFmtId="3" fontId="78" fillId="0" borderId="58" xfId="0" applyNumberFormat="1" applyFont="1" applyFill="1" applyBorder="1" applyAlignment="1">
      <alignment wrapText="1"/>
    </xf>
    <xf numFmtId="3" fontId="78" fillId="0" borderId="24" xfId="0" applyNumberFormat="1" applyFont="1" applyFill="1" applyBorder="1" applyAlignment="1">
      <alignment wrapText="1"/>
    </xf>
    <xf numFmtId="3" fontId="77" fillId="0" borderId="24" xfId="0" applyNumberFormat="1" applyFont="1" applyFill="1" applyBorder="1" applyAlignment="1">
      <alignment wrapText="1"/>
    </xf>
    <xf numFmtId="0" fontId="69" fillId="0" borderId="44" xfId="0" applyFont="1" applyBorder="1" applyAlignment="1">
      <alignment wrapText="1"/>
    </xf>
    <xf numFmtId="166" fontId="0" fillId="0" borderId="0" xfId="1" applyNumberFormat="1" applyFont="1"/>
    <xf numFmtId="0" fontId="18" fillId="0" borderId="0" xfId="0" applyFont="1" applyAlignment="1">
      <alignment horizontal="right"/>
    </xf>
    <xf numFmtId="0" fontId="13" fillId="0" borderId="65" xfId="4" applyFont="1" applyFill="1" applyBorder="1" applyAlignment="1" applyProtection="1">
      <alignment vertical="center" wrapText="1"/>
    </xf>
    <xf numFmtId="164" fontId="7" fillId="3" borderId="15" xfId="5" applyNumberFormat="1" applyFont="1" applyFill="1" applyBorder="1" applyAlignment="1">
      <alignment horizontal="center" vertical="center" wrapText="1"/>
    </xf>
    <xf numFmtId="164" fontId="7" fillId="3" borderId="16" xfId="5" applyNumberFormat="1" applyFont="1" applyFill="1" applyBorder="1" applyAlignment="1">
      <alignment horizontal="center" vertical="center" wrapText="1"/>
    </xf>
    <xf numFmtId="164" fontId="5" fillId="2" borderId="56" xfId="5" applyNumberFormat="1" applyFont="1" applyFill="1" applyBorder="1" applyAlignment="1">
      <alignment vertical="center" wrapText="1"/>
    </xf>
    <xf numFmtId="0" fontId="32" fillId="0" borderId="28" xfId="4" applyFont="1" applyFill="1" applyBorder="1" applyAlignment="1" applyProtection="1">
      <alignment horizontal="center" vertical="center"/>
    </xf>
    <xf numFmtId="0" fontId="61" fillId="0" borderId="2" xfId="4" applyFont="1" applyFill="1" applyBorder="1" applyAlignment="1">
      <alignment horizontal="center"/>
    </xf>
    <xf numFmtId="0" fontId="61" fillId="0" borderId="4" xfId="4" applyFont="1" applyFill="1" applyBorder="1" applyAlignment="1">
      <alignment horizontal="center"/>
    </xf>
    <xf numFmtId="0" fontId="61" fillId="0" borderId="71" xfId="4" applyFont="1" applyFill="1" applyBorder="1" applyAlignment="1">
      <alignment horizontal="center"/>
    </xf>
    <xf numFmtId="166" fontId="32" fillId="0" borderId="13" xfId="1" applyNumberFormat="1" applyFont="1" applyFill="1" applyBorder="1" applyProtection="1">
      <protection locked="0"/>
    </xf>
    <xf numFmtId="0" fontId="32" fillId="0" borderId="30" xfId="4" applyFont="1" applyFill="1" applyBorder="1" applyProtection="1"/>
    <xf numFmtId="0" fontId="32" fillId="0" borderId="29" xfId="4" applyFont="1" applyFill="1" applyBorder="1" applyProtection="1"/>
    <xf numFmtId="0" fontId="32" fillId="0" borderId="29" xfId="4" applyFont="1" applyFill="1" applyBorder="1" applyAlignment="1" applyProtection="1">
      <alignment wrapText="1"/>
    </xf>
    <xf numFmtId="0" fontId="32" fillId="0" borderId="51" xfId="4" applyFont="1" applyFill="1" applyBorder="1" applyProtection="1"/>
    <xf numFmtId="166" fontId="32" fillId="0" borderId="22" xfId="1" applyNumberFormat="1" applyFont="1" applyFill="1" applyBorder="1" applyProtection="1">
      <protection locked="0"/>
    </xf>
    <xf numFmtId="166" fontId="32" fillId="0" borderId="23" xfId="1" applyNumberFormat="1" applyFont="1" applyFill="1" applyBorder="1" applyProtection="1">
      <protection locked="0"/>
    </xf>
    <xf numFmtId="166" fontId="32" fillId="0" borderId="49" xfId="1" applyNumberFormat="1" applyFont="1" applyFill="1" applyBorder="1" applyProtection="1">
      <protection locked="0"/>
    </xf>
    <xf numFmtId="166" fontId="7" fillId="0" borderId="33" xfId="1" applyNumberFormat="1" applyFont="1" applyBorder="1"/>
    <xf numFmtId="166" fontId="15" fillId="0" borderId="41" xfId="1" applyNumberFormat="1" applyFont="1" applyFill="1" applyBorder="1" applyAlignment="1" applyProtection="1">
      <alignment vertical="center" wrapText="1"/>
    </xf>
    <xf numFmtId="0" fontId="14" fillId="0" borderId="41" xfId="4" applyFont="1" applyFill="1" applyBorder="1" applyAlignment="1" applyProtection="1">
      <alignment horizontal="left" vertical="center" wrapText="1" indent="1"/>
    </xf>
    <xf numFmtId="3" fontId="80" fillId="0" borderId="23" xfId="0" applyNumberFormat="1" applyFont="1" applyFill="1" applyBorder="1"/>
    <xf numFmtId="3" fontId="80" fillId="0" borderId="49" xfId="0" applyNumberFormat="1" applyFont="1" applyFill="1" applyBorder="1"/>
    <xf numFmtId="3" fontId="80" fillId="0" borderId="13" xfId="0" applyNumberFormat="1" applyFont="1" applyFill="1" applyBorder="1" applyAlignment="1">
      <alignment horizontal="right"/>
    </xf>
    <xf numFmtId="3" fontId="80" fillId="0" borderId="32" xfId="0" applyNumberFormat="1" applyFont="1" applyFill="1" applyBorder="1"/>
    <xf numFmtId="166" fontId="5" fillId="0" borderId="13" xfId="1" applyNumberFormat="1" applyFont="1" applyFill="1" applyBorder="1" applyAlignment="1"/>
    <xf numFmtId="166" fontId="5" fillId="0" borderId="32" xfId="1" applyNumberFormat="1" applyFont="1" applyFill="1" applyBorder="1" applyAlignment="1"/>
    <xf numFmtId="0" fontId="14" fillId="3" borderId="0" xfId="5" applyFont="1" applyFill="1"/>
    <xf numFmtId="49" fontId="7" fillId="3" borderId="14" xfId="5" applyNumberFormat="1" applyFont="1" applyFill="1" applyBorder="1" applyAlignment="1">
      <alignment horizontal="center" vertical="center" wrapText="1"/>
    </xf>
    <xf numFmtId="164" fontId="20" fillId="3" borderId="13" xfId="5" applyNumberFormat="1" applyFont="1" applyFill="1" applyBorder="1" applyAlignment="1">
      <alignment horizontal="left" vertical="center" wrapText="1"/>
    </xf>
    <xf numFmtId="3" fontId="73" fillId="0" borderId="21" xfId="0" applyNumberFormat="1" applyFont="1" applyFill="1" applyBorder="1"/>
    <xf numFmtId="3" fontId="28" fillId="2" borderId="22" xfId="0" applyNumberFormat="1" applyFont="1" applyFill="1" applyBorder="1"/>
    <xf numFmtId="0" fontId="7" fillId="0" borderId="3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166" fontId="7" fillId="2" borderId="8" xfId="0" applyNumberFormat="1" applyFont="1" applyFill="1" applyBorder="1"/>
    <xf numFmtId="166" fontId="15" fillId="0" borderId="41" xfId="1" applyNumberFormat="1" applyFont="1" applyBorder="1" applyAlignment="1">
      <alignment horizontal="right"/>
    </xf>
    <xf numFmtId="166" fontId="15" fillId="0" borderId="8" xfId="1" applyNumberFormat="1" applyFont="1" applyBorder="1" applyAlignment="1">
      <alignment horizontal="right"/>
    </xf>
    <xf numFmtId="164" fontId="15" fillId="0" borderId="28" xfId="4" applyNumberFormat="1" applyFont="1" applyFill="1" applyBorder="1" applyAlignment="1" applyProtection="1">
      <alignment horizontal="center" vertical="center" wrapText="1"/>
      <protection locked="0"/>
    </xf>
    <xf numFmtId="166" fontId="15" fillId="0" borderId="8" xfId="1" applyNumberFormat="1" applyFont="1" applyFill="1" applyBorder="1" applyAlignment="1" applyProtection="1">
      <alignment horizontal="left" indent="1"/>
    </xf>
    <xf numFmtId="0" fontId="16" fillId="0" borderId="22" xfId="4" applyFont="1" applyFill="1" applyBorder="1" applyAlignment="1" applyProtection="1">
      <alignment horizontal="left"/>
    </xf>
    <xf numFmtId="166" fontId="16" fillId="0" borderId="19" xfId="1" applyNumberFormat="1" applyFont="1" applyFill="1" applyBorder="1" applyAlignment="1" applyProtection="1"/>
    <xf numFmtId="0" fontId="4" fillId="0" borderId="0" xfId="0" applyFont="1" applyFill="1"/>
    <xf numFmtId="166" fontId="1" fillId="0" borderId="0" xfId="1" applyNumberFormat="1" applyFont="1" applyFill="1"/>
    <xf numFmtId="0" fontId="0" fillId="0" borderId="0" xfId="0" applyFont="1" applyFill="1"/>
    <xf numFmtId="166" fontId="0" fillId="0" borderId="0" xfId="1" applyNumberFormat="1" applyFont="1" applyFill="1"/>
    <xf numFmtId="166" fontId="5" fillId="0" borderId="18" xfId="1" applyNumberFormat="1" applyFont="1" applyBorder="1" applyAlignment="1">
      <alignment horizontal="center" vertical="center" wrapText="1"/>
    </xf>
    <xf numFmtId="166" fontId="5" fillId="0" borderId="46" xfId="1" applyNumberFormat="1" applyFont="1" applyBorder="1" applyAlignment="1">
      <alignment horizontal="center" vertical="center" wrapText="1"/>
    </xf>
    <xf numFmtId="166" fontId="6" fillId="0" borderId="19" xfId="1" applyNumberFormat="1" applyFont="1" applyBorder="1" applyAlignment="1">
      <alignment horizontal="center" vertical="center" wrapText="1"/>
    </xf>
    <xf numFmtId="166" fontId="6" fillId="0" borderId="30" xfId="1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6" fontId="6" fillId="0" borderId="8" xfId="1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6" fontId="5" fillId="0" borderId="39" xfId="1" applyNumberFormat="1" applyFont="1" applyFill="1" applyBorder="1" applyAlignment="1"/>
    <xf numFmtId="0" fontId="63" fillId="0" borderId="81" xfId="4" applyFont="1" applyFill="1" applyBorder="1" applyAlignment="1" applyProtection="1">
      <alignment horizontal="center" vertical="center"/>
    </xf>
    <xf numFmtId="0" fontId="90" fillId="0" borderId="4" xfId="4" applyFont="1" applyFill="1" applyBorder="1" applyAlignment="1" applyProtection="1">
      <alignment horizontal="center" vertical="center" wrapText="1"/>
    </xf>
    <xf numFmtId="0" fontId="90" fillId="0" borderId="67" xfId="4" applyFont="1" applyFill="1" applyBorder="1" applyAlignment="1" applyProtection="1">
      <alignment horizontal="center" vertical="center" wrapText="1"/>
    </xf>
    <xf numFmtId="166" fontId="93" fillId="0" borderId="69" xfId="4" applyNumberFormat="1" applyFont="1" applyFill="1" applyBorder="1"/>
    <xf numFmtId="166" fontId="94" fillId="0" borderId="69" xfId="4" applyNumberFormat="1" applyFont="1" applyFill="1" applyBorder="1"/>
    <xf numFmtId="166" fontId="91" fillId="0" borderId="58" xfId="1" applyNumberFormat="1" applyFont="1" applyBorder="1"/>
    <xf numFmtId="0" fontId="91" fillId="0" borderId="82" xfId="4" applyFont="1" applyFill="1" applyBorder="1"/>
    <xf numFmtId="0" fontId="92" fillId="0" borderId="82" xfId="4" applyFont="1" applyFill="1" applyBorder="1"/>
    <xf numFmtId="166" fontId="14" fillId="2" borderId="84" xfId="2" applyNumberFormat="1" applyFont="1" applyFill="1" applyBorder="1"/>
    <xf numFmtId="166" fontId="14" fillId="2" borderId="47" xfId="2" applyNumberFormat="1" applyFont="1" applyFill="1" applyBorder="1"/>
    <xf numFmtId="0" fontId="14" fillId="0" borderId="24" xfId="0" applyFont="1" applyBorder="1" applyAlignment="1">
      <alignment wrapText="1"/>
    </xf>
    <xf numFmtId="166" fontId="0" fillId="2" borderId="0" xfId="0" applyNumberFormat="1" applyFill="1"/>
    <xf numFmtId="166" fontId="5" fillId="2" borderId="0" xfId="0" applyNumberFormat="1" applyFont="1" applyFill="1"/>
    <xf numFmtId="166" fontId="5" fillId="2" borderId="19" xfId="1" applyNumberFormat="1" applyFont="1" applyFill="1" applyBorder="1"/>
    <xf numFmtId="166" fontId="96" fillId="0" borderId="0" xfId="1" applyNumberFormat="1" applyFont="1" applyFill="1" applyBorder="1"/>
    <xf numFmtId="166" fontId="96" fillId="0" borderId="0" xfId="1" applyNumberFormat="1" applyFont="1"/>
    <xf numFmtId="166" fontId="96" fillId="0" borderId="0" xfId="0" applyNumberFormat="1" applyFont="1"/>
    <xf numFmtId="0" fontId="81" fillId="0" borderId="12" xfId="0" applyFont="1" applyFill="1" applyBorder="1"/>
    <xf numFmtId="3" fontId="49" fillId="0" borderId="0" xfId="0" applyNumberFormat="1" applyFont="1"/>
    <xf numFmtId="166" fontId="14" fillId="2" borderId="33" xfId="1" applyNumberFormat="1" applyFont="1" applyFill="1" applyBorder="1"/>
    <xf numFmtId="0" fontId="76" fillId="0" borderId="13" xfId="0" applyFont="1" applyBorder="1" applyAlignment="1">
      <alignment wrapText="1"/>
    </xf>
    <xf numFmtId="0" fontId="82" fillId="0" borderId="11" xfId="0" applyFont="1" applyBorder="1"/>
    <xf numFmtId="3" fontId="67" fillId="0" borderId="70" xfId="0" applyNumberFormat="1" applyFont="1" applyFill="1" applyBorder="1"/>
    <xf numFmtId="3" fontId="78" fillId="0" borderId="62" xfId="0" applyNumberFormat="1" applyFont="1" applyFill="1" applyBorder="1"/>
    <xf numFmtId="3" fontId="79" fillId="0" borderId="36" xfId="0" applyNumberFormat="1" applyFont="1" applyFill="1" applyBorder="1"/>
    <xf numFmtId="3" fontId="80" fillId="0" borderId="36" xfId="0" applyNumberFormat="1" applyFont="1" applyFill="1" applyBorder="1"/>
    <xf numFmtId="3" fontId="78" fillId="0" borderId="37" xfId="0" applyNumberFormat="1" applyFont="1" applyFill="1" applyBorder="1"/>
    <xf numFmtId="49" fontId="19" fillId="2" borderId="14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 applyProtection="1">
      <alignment horizontal="center" vertical="center" wrapText="1"/>
    </xf>
    <xf numFmtId="3" fontId="19" fillId="2" borderId="15" xfId="5" applyNumberFormat="1" applyFont="1" applyFill="1" applyBorder="1" applyAlignment="1" applyProtection="1">
      <alignment horizontal="center" vertical="center" wrapText="1"/>
    </xf>
    <xf numFmtId="3" fontId="19" fillId="2" borderId="16" xfId="5" applyNumberFormat="1" applyFont="1" applyFill="1" applyBorder="1" applyAlignment="1" applyProtection="1">
      <alignment horizontal="center" vertical="center" wrapText="1"/>
    </xf>
    <xf numFmtId="49" fontId="19" fillId="2" borderId="53" xfId="5" applyNumberFormat="1" applyFont="1" applyFill="1" applyBorder="1" applyAlignment="1">
      <alignment horizontal="center" vertical="center" wrapText="1"/>
    </xf>
    <xf numFmtId="164" fontId="20" fillId="2" borderId="65" xfId="5" applyNumberFormat="1" applyFont="1" applyFill="1" applyBorder="1" applyAlignment="1" applyProtection="1">
      <alignment horizontal="left" vertical="center" wrapText="1"/>
      <protection locked="0"/>
    </xf>
    <xf numFmtId="165" fontId="20" fillId="2" borderId="65" xfId="5" applyNumberFormat="1" applyFont="1" applyFill="1" applyBorder="1" applyAlignment="1" applyProtection="1">
      <alignment horizontal="center" vertical="center" wrapText="1"/>
      <protection locked="0"/>
    </xf>
    <xf numFmtId="3" fontId="20" fillId="2" borderId="65" xfId="5" applyNumberFormat="1" applyFont="1" applyFill="1" applyBorder="1" applyAlignment="1" applyProtection="1">
      <alignment horizontal="center" vertical="center" wrapText="1"/>
      <protection locked="0"/>
    </xf>
    <xf numFmtId="164" fontId="20" fillId="2" borderId="65" xfId="5" applyNumberFormat="1" applyFont="1" applyFill="1" applyBorder="1" applyAlignment="1" applyProtection="1">
      <alignment horizontal="center" vertical="center" wrapText="1"/>
      <protection locked="0"/>
    </xf>
    <xf numFmtId="3" fontId="20" fillId="2" borderId="66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64" xfId="5" applyNumberFormat="1" applyFont="1" applyFill="1" applyBorder="1" applyAlignment="1">
      <alignment horizontal="center" vertical="center" wrapText="1"/>
    </xf>
    <xf numFmtId="164" fontId="20" fillId="3" borderId="18" xfId="5" applyNumberFormat="1" applyFont="1" applyFill="1" applyBorder="1" applyAlignment="1" applyProtection="1">
      <alignment horizontal="left" vertical="center" wrapText="1"/>
      <protection locked="0"/>
    </xf>
    <xf numFmtId="165" fontId="20" fillId="3" borderId="18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8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45" xfId="5" applyNumberFormat="1" applyFont="1" applyFill="1" applyBorder="1" applyAlignment="1">
      <alignment horizontal="center" vertical="center" wrapText="1"/>
    </xf>
    <xf numFmtId="49" fontId="19" fillId="3" borderId="23" xfId="5" applyNumberFormat="1" applyFont="1" applyFill="1" applyBorder="1" applyAlignment="1">
      <alignment horizontal="center" vertical="center" wrapText="1"/>
    </xf>
    <xf numFmtId="165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3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35" xfId="5" applyNumberFormat="1" applyFont="1" applyFill="1" applyBorder="1" applyAlignment="1">
      <alignment horizontal="center" vertical="center" wrapText="1"/>
    </xf>
    <xf numFmtId="164" fontId="20" fillId="3" borderId="21" xfId="5" applyNumberFormat="1" applyFont="1" applyFill="1" applyBorder="1" applyAlignment="1">
      <alignment horizontal="left" vertical="center" wrapText="1"/>
    </xf>
    <xf numFmtId="165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3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14" xfId="5" applyNumberFormat="1" applyFont="1" applyFill="1" applyBorder="1" applyAlignment="1">
      <alignment horizontal="center" vertical="center" wrapText="1"/>
    </xf>
    <xf numFmtId="164" fontId="19" fillId="3" borderId="15" xfId="5" applyNumberFormat="1" applyFont="1" applyFill="1" applyBorder="1" applyAlignment="1" applyProtection="1">
      <alignment horizontal="center" vertical="center" wrapText="1"/>
      <protection locked="0"/>
    </xf>
    <xf numFmtId="164" fontId="19" fillId="3" borderId="15" xfId="5" applyNumberFormat="1" applyFont="1" applyFill="1" applyBorder="1" applyAlignment="1" applyProtection="1">
      <alignment horizontal="center" vertical="center" wrapText="1"/>
    </xf>
    <xf numFmtId="164" fontId="20" fillId="3" borderId="13" xfId="5" applyNumberFormat="1" applyFont="1" applyFill="1" applyBorder="1" applyAlignment="1" applyProtection="1">
      <alignment horizontal="left" vertical="center" wrapText="1"/>
      <protection locked="0"/>
    </xf>
    <xf numFmtId="164" fontId="20" fillId="3" borderId="21" xfId="5" applyNumberFormat="1" applyFont="1" applyFill="1" applyBorder="1" applyAlignment="1" applyProtection="1">
      <alignment horizontal="left" vertical="center" wrapText="1"/>
      <protection locked="0"/>
    </xf>
    <xf numFmtId="164" fontId="14" fillId="2" borderId="13" xfId="5" applyNumberFormat="1" applyFont="1" applyFill="1" applyBorder="1" applyAlignment="1" applyProtection="1">
      <alignment horizontal="center" vertical="center" wrapText="1"/>
    </xf>
    <xf numFmtId="164" fontId="7" fillId="2" borderId="13" xfId="5" applyNumberFormat="1" applyFont="1" applyFill="1" applyBorder="1" applyAlignment="1" applyProtection="1">
      <alignment horizontal="center" vertical="center" wrapText="1"/>
    </xf>
    <xf numFmtId="0" fontId="15" fillId="0" borderId="26" xfId="4" applyFont="1" applyFill="1" applyBorder="1" applyAlignment="1" applyProtection="1">
      <alignment horizontal="left" vertical="center" wrapText="1" indent="1"/>
    </xf>
    <xf numFmtId="0" fontId="52" fillId="0" borderId="17" xfId="4" applyFont="1" applyFill="1" applyBorder="1" applyAlignment="1" applyProtection="1">
      <alignment horizontal="left" vertical="center" wrapText="1" indent="1"/>
    </xf>
    <xf numFmtId="166" fontId="37" fillId="0" borderId="85" xfId="1" applyNumberFormat="1" applyFont="1" applyFill="1" applyBorder="1" applyAlignment="1" applyProtection="1">
      <alignment vertical="center" wrapText="1"/>
    </xf>
    <xf numFmtId="166" fontId="37" fillId="0" borderId="4" xfId="1" applyNumberFormat="1" applyFont="1" applyFill="1" applyBorder="1" applyAlignment="1" applyProtection="1">
      <alignment vertical="center" wrapText="1"/>
    </xf>
    <xf numFmtId="0" fontId="15" fillId="0" borderId="52" xfId="4" applyFont="1" applyFill="1" applyBorder="1" applyAlignment="1" applyProtection="1">
      <alignment horizontal="left" vertical="center" wrapText="1" indent="1"/>
    </xf>
    <xf numFmtId="166" fontId="15" fillId="2" borderId="6" xfId="1" applyNumberFormat="1" applyFont="1" applyFill="1" applyBorder="1" applyAlignment="1" applyProtection="1">
      <alignment vertical="center" wrapText="1"/>
    </xf>
    <xf numFmtId="166" fontId="15" fillId="0" borderId="43" xfId="1" applyNumberFormat="1" applyFont="1" applyFill="1" applyBorder="1" applyAlignment="1" applyProtection="1">
      <alignment vertical="center" wrapText="1"/>
    </xf>
    <xf numFmtId="166" fontId="13" fillId="0" borderId="13" xfId="1" applyNumberFormat="1" applyFont="1" applyFill="1" applyBorder="1" applyAlignment="1" applyProtection="1">
      <alignment vertical="center" wrapText="1"/>
    </xf>
    <xf numFmtId="0" fontId="37" fillId="0" borderId="22" xfId="4" applyFont="1" applyFill="1" applyBorder="1" applyAlignment="1" applyProtection="1">
      <alignment horizontal="left" vertical="center" wrapText="1" indent="2"/>
    </xf>
    <xf numFmtId="166" fontId="37" fillId="0" borderId="19" xfId="1" applyNumberFormat="1" applyFont="1" applyFill="1" applyBorder="1" applyAlignment="1" applyProtection="1">
      <alignment vertical="center" wrapText="1"/>
    </xf>
    <xf numFmtId="166" fontId="13" fillId="0" borderId="39" xfId="1" applyNumberFormat="1" applyFont="1" applyFill="1" applyBorder="1" applyAlignment="1" applyProtection="1">
      <alignment vertical="center" wrapText="1"/>
      <protection locked="0"/>
    </xf>
    <xf numFmtId="166" fontId="13" fillId="0" borderId="39" xfId="1" applyNumberFormat="1" applyFont="1" applyFill="1" applyBorder="1" applyAlignment="1" applyProtection="1">
      <alignment vertical="center" wrapText="1"/>
    </xf>
    <xf numFmtId="0" fontId="13" fillId="0" borderId="49" xfId="4" applyFont="1" applyFill="1" applyBorder="1" applyAlignment="1" applyProtection="1">
      <alignment horizontal="left" vertical="center" wrapText="1" indent="2"/>
    </xf>
    <xf numFmtId="166" fontId="13" fillId="0" borderId="32" xfId="1" applyNumberFormat="1" applyFont="1" applyFill="1" applyBorder="1" applyAlignment="1" applyProtection="1">
      <alignment vertical="center" wrapText="1"/>
    </xf>
    <xf numFmtId="166" fontId="13" fillId="0" borderId="40" xfId="1" applyNumberFormat="1" applyFont="1" applyFill="1" applyBorder="1" applyAlignment="1" applyProtection="1">
      <alignment vertical="center" wrapText="1"/>
      <protection locked="0"/>
    </xf>
    <xf numFmtId="49" fontId="19" fillId="3" borderId="22" xfId="5" applyNumberFormat="1" applyFont="1" applyFill="1" applyBorder="1" applyAlignment="1">
      <alignment horizontal="center" vertical="center" wrapText="1"/>
    </xf>
    <xf numFmtId="164" fontId="20" fillId="3" borderId="19" xfId="5" applyNumberFormat="1" applyFont="1" applyFill="1" applyBorder="1" applyAlignment="1">
      <alignment horizontal="left" vertical="center" wrapText="1"/>
    </xf>
    <xf numFmtId="164" fontId="20" fillId="3" borderId="19" xfId="5" applyNumberFormat="1" applyFont="1" applyFill="1" applyBorder="1" applyAlignment="1">
      <alignment horizontal="center" vertical="center" wrapText="1"/>
    </xf>
    <xf numFmtId="164" fontId="19" fillId="3" borderId="19" xfId="5" applyNumberFormat="1" applyFont="1" applyFill="1" applyBorder="1" applyAlignment="1">
      <alignment horizontal="center" vertical="center" wrapText="1"/>
    </xf>
    <xf numFmtId="164" fontId="20" fillId="3" borderId="34" xfId="5" applyNumberFormat="1" applyFont="1" applyFill="1" applyBorder="1" applyAlignment="1">
      <alignment horizontal="center" vertical="center" wrapText="1"/>
    </xf>
    <xf numFmtId="0" fontId="20" fillId="3" borderId="0" xfId="5" applyFont="1" applyFill="1"/>
    <xf numFmtId="164" fontId="20" fillId="3" borderId="39" xfId="5" applyNumberFormat="1" applyFont="1" applyFill="1" applyBorder="1" applyAlignment="1">
      <alignment horizontal="center" vertical="center" wrapText="1"/>
    </xf>
    <xf numFmtId="164" fontId="20" fillId="3" borderId="42" xfId="5" applyNumberFormat="1" applyFont="1" applyFill="1" applyBorder="1" applyAlignment="1">
      <alignment horizontal="center" vertical="center" wrapText="1"/>
    </xf>
    <xf numFmtId="164" fontId="20" fillId="3" borderId="15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5" xfId="5" applyNumberFormat="1" applyFont="1" applyFill="1" applyBorder="1" applyAlignment="1" applyProtection="1">
      <alignment horizontal="center" vertical="center" wrapText="1"/>
    </xf>
    <xf numFmtId="164" fontId="20" fillId="3" borderId="16" xfId="5" applyNumberFormat="1" applyFont="1" applyFill="1" applyBorder="1" applyAlignment="1" applyProtection="1">
      <alignment horizontal="center" vertical="center" wrapText="1"/>
    </xf>
    <xf numFmtId="166" fontId="7" fillId="2" borderId="83" xfId="1" applyNumberFormat="1" applyFont="1" applyFill="1" applyBorder="1" applyAlignment="1">
      <alignment horizontal="center" vertical="center"/>
    </xf>
    <xf numFmtId="166" fontId="7" fillId="0" borderId="83" xfId="1" applyNumberFormat="1" applyFont="1" applyFill="1" applyBorder="1" applyAlignment="1">
      <alignment horizontal="center" vertical="center"/>
    </xf>
    <xf numFmtId="3" fontId="19" fillId="2" borderId="4" xfId="0" applyNumberFormat="1" applyFont="1" applyFill="1" applyBorder="1" applyAlignment="1">
      <alignment horizontal="center" vertical="center"/>
    </xf>
    <xf numFmtId="166" fontId="7" fillId="2" borderId="6" xfId="0" applyNumberFormat="1" applyFont="1" applyFill="1" applyBorder="1"/>
    <xf numFmtId="166" fontId="48" fillId="2" borderId="13" xfId="1" applyNumberFormat="1" applyFont="1" applyFill="1" applyBorder="1"/>
    <xf numFmtId="166" fontId="14" fillId="0" borderId="13" xfId="1" applyNumberFormat="1" applyFont="1" applyFill="1" applyBorder="1"/>
    <xf numFmtId="0" fontId="14" fillId="0" borderId="13" xfId="0" applyFont="1" applyFill="1" applyBorder="1"/>
    <xf numFmtId="3" fontId="14" fillId="2" borderId="22" xfId="0" applyNumberFormat="1" applyFont="1" applyFill="1" applyBorder="1" applyAlignment="1">
      <alignment horizontal="center" vertical="center"/>
    </xf>
    <xf numFmtId="3" fontId="14" fillId="2" borderId="19" xfId="0" applyNumberFormat="1" applyFont="1" applyFill="1" applyBorder="1" applyAlignment="1">
      <alignment horizontal="center" vertical="center"/>
    </xf>
    <xf numFmtId="166" fontId="14" fillId="2" borderId="19" xfId="1" applyNumberFormat="1" applyFont="1" applyFill="1" applyBorder="1" applyAlignment="1">
      <alignment horizontal="center" vertical="center"/>
    </xf>
    <xf numFmtId="166" fontId="14" fillId="2" borderId="34" xfId="1" applyNumberFormat="1" applyFont="1" applyFill="1" applyBorder="1" applyAlignment="1">
      <alignment horizontal="center" vertical="center"/>
    </xf>
    <xf numFmtId="166" fontId="14" fillId="0" borderId="23" xfId="1" applyNumberFormat="1" applyFont="1" applyBorder="1"/>
    <xf numFmtId="166" fontId="14" fillId="0" borderId="39" xfId="1" applyNumberFormat="1" applyFont="1" applyBorder="1" applyAlignment="1">
      <alignment horizontal="center"/>
    </xf>
    <xf numFmtId="166" fontId="14" fillId="2" borderId="23" xfId="1" applyNumberFormat="1" applyFont="1" applyFill="1" applyBorder="1"/>
    <xf numFmtId="166" fontId="14" fillId="2" borderId="39" xfId="1" applyNumberFormat="1" applyFont="1" applyFill="1" applyBorder="1" applyAlignment="1">
      <alignment horizontal="center"/>
    </xf>
    <xf numFmtId="166" fontId="14" fillId="0" borderId="23" xfId="1" applyNumberFormat="1" applyFont="1" applyFill="1" applyBorder="1"/>
    <xf numFmtId="166" fontId="14" fillId="0" borderId="39" xfId="1" applyNumberFormat="1" applyFont="1" applyFill="1" applyBorder="1" applyAlignment="1">
      <alignment horizontal="center"/>
    </xf>
    <xf numFmtId="166" fontId="14" fillId="0" borderId="49" xfId="1" applyNumberFormat="1" applyFont="1" applyBorder="1"/>
    <xf numFmtId="0" fontId="14" fillId="0" borderId="32" xfId="0" applyFont="1" applyBorder="1"/>
    <xf numFmtId="166" fontId="14" fillId="0" borderId="40" xfId="1" applyNumberFormat="1" applyFont="1" applyBorder="1" applyAlignment="1">
      <alignment horizontal="center"/>
    </xf>
    <xf numFmtId="166" fontId="7" fillId="0" borderId="33" xfId="1" applyNumberFormat="1" applyFont="1" applyBorder="1" applyAlignment="1">
      <alignment horizontal="center" vertical="center" wrapText="1"/>
    </xf>
    <xf numFmtId="166" fontId="19" fillId="2" borderId="4" xfId="1" applyNumberFormat="1" applyFont="1" applyFill="1" applyBorder="1" applyAlignment="1">
      <alignment horizontal="center" vertical="center"/>
    </xf>
    <xf numFmtId="166" fontId="7" fillId="2" borderId="6" xfId="1" applyNumberFormat="1" applyFont="1" applyFill="1" applyBorder="1"/>
    <xf numFmtId="166" fontId="7" fillId="0" borderId="6" xfId="0" applyNumberFormat="1" applyFont="1" applyFill="1" applyBorder="1"/>
    <xf numFmtId="167" fontId="16" fillId="0" borderId="8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166" fontId="15" fillId="0" borderId="0" xfId="1" applyNumberFormat="1" applyFont="1" applyBorder="1" applyAlignment="1"/>
    <xf numFmtId="166" fontId="4" fillId="0" borderId="0" xfId="1" applyNumberFormat="1" applyFont="1"/>
    <xf numFmtId="166" fontId="14" fillId="0" borderId="36" xfId="1" applyNumberFormat="1" applyFont="1" applyFill="1" applyBorder="1" applyAlignment="1"/>
    <xf numFmtId="0" fontId="14" fillId="0" borderId="13" xfId="0" applyFont="1" applyBorder="1" applyAlignment="1">
      <alignment horizontal="center"/>
    </xf>
    <xf numFmtId="49" fontId="14" fillId="0" borderId="13" xfId="0" applyNumberFormat="1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49" fontId="14" fillId="0" borderId="18" xfId="0" applyNumberFormat="1" applyFont="1" applyBorder="1" applyAlignment="1">
      <alignment horizontal="center"/>
    </xf>
    <xf numFmtId="0" fontId="14" fillId="0" borderId="18" xfId="0" applyFont="1" applyBorder="1"/>
    <xf numFmtId="166" fontId="14" fillId="2" borderId="59" xfId="1" applyNumberFormat="1" applyFont="1" applyFill="1" applyBorder="1"/>
    <xf numFmtId="0" fontId="14" fillId="0" borderId="21" xfId="0" applyFont="1" applyBorder="1" applyAlignment="1">
      <alignment horizontal="center"/>
    </xf>
    <xf numFmtId="49" fontId="14" fillId="0" borderId="21" xfId="0" applyNumberFormat="1" applyFont="1" applyBorder="1" applyAlignment="1">
      <alignment horizontal="center"/>
    </xf>
    <xf numFmtId="0" fontId="14" fillId="0" borderId="21" xfId="0" applyFont="1" applyBorder="1"/>
    <xf numFmtId="0" fontId="14" fillId="2" borderId="1" xfId="0" applyFont="1" applyFill="1" applyBorder="1" applyAlignment="1"/>
    <xf numFmtId="0" fontId="14" fillId="2" borderId="0" xfId="0" applyFont="1" applyFill="1" applyAlignment="1"/>
    <xf numFmtId="49" fontId="14" fillId="2" borderId="38" xfId="0" applyNumberFormat="1" applyFont="1" applyFill="1" applyBorder="1" applyAlignment="1">
      <alignment horizontal="center"/>
    </xf>
    <xf numFmtId="0" fontId="14" fillId="0" borderId="38" xfId="0" applyFont="1" applyBorder="1"/>
    <xf numFmtId="166" fontId="14" fillId="2" borderId="38" xfId="2" applyNumberFormat="1" applyFont="1" applyFill="1" applyBorder="1"/>
    <xf numFmtId="0" fontId="81" fillId="0" borderId="12" xfId="0" applyFont="1" applyBorder="1" applyAlignment="1">
      <alignment wrapText="1"/>
    </xf>
    <xf numFmtId="0" fontId="76" fillId="0" borderId="12" xfId="0" applyFont="1" applyBorder="1" applyAlignment="1">
      <alignment wrapTex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0" fillId="0" borderId="1" xfId="4" applyFont="1" applyFill="1" applyBorder="1" applyAlignment="1" applyProtection="1">
      <alignment horizontal="center" vertical="center" wrapText="1"/>
    </xf>
    <xf numFmtId="0" fontId="90" fillId="0" borderId="8" xfId="4" applyFont="1" applyFill="1" applyBorder="1" applyAlignment="1" applyProtection="1">
      <alignment horizontal="center" vertical="center" wrapText="1"/>
    </xf>
    <xf numFmtId="0" fontId="30" fillId="0" borderId="26" xfId="4" applyFont="1" applyFill="1" applyBorder="1" applyAlignment="1" applyProtection="1">
      <alignment horizontal="center" vertical="center" wrapText="1"/>
    </xf>
    <xf numFmtId="0" fontId="33" fillId="0" borderId="13" xfId="4" applyFont="1" applyFill="1" applyBorder="1" applyAlignment="1">
      <alignment horizontal="center" vertical="center"/>
    </xf>
    <xf numFmtId="0" fontId="33" fillId="0" borderId="64" xfId="4" applyFont="1" applyFill="1" applyBorder="1" applyAlignment="1">
      <alignment horizontal="center" vertical="center"/>
    </xf>
    <xf numFmtId="166" fontId="33" fillId="0" borderId="56" xfId="6" applyNumberFormat="1" applyFont="1" applyFill="1" applyBorder="1" applyAlignment="1" applyProtection="1">
      <alignment horizontal="center" vertical="center"/>
      <protection locked="0"/>
    </xf>
    <xf numFmtId="166" fontId="33" fillId="0" borderId="52" xfId="6" applyNumberFormat="1" applyFont="1" applyFill="1" applyBorder="1" applyAlignment="1" applyProtection="1">
      <alignment horizontal="center" vertical="center"/>
      <protection locked="0"/>
    </xf>
    <xf numFmtId="166" fontId="33" fillId="0" borderId="43" xfId="6" applyNumberFormat="1" applyFont="1" applyFill="1" applyBorder="1" applyAlignment="1">
      <alignment horizontal="center" vertical="center"/>
    </xf>
    <xf numFmtId="166" fontId="33" fillId="0" borderId="13" xfId="6" applyNumberFormat="1" applyFont="1" applyFill="1" applyBorder="1" applyAlignment="1" applyProtection="1">
      <alignment horizontal="center" vertical="center"/>
      <protection locked="0"/>
    </xf>
    <xf numFmtId="166" fontId="33" fillId="0" borderId="29" xfId="6" applyNumberFormat="1" applyFont="1" applyFill="1" applyBorder="1" applyAlignment="1" applyProtection="1">
      <alignment horizontal="center" vertical="center"/>
      <protection locked="0"/>
    </xf>
    <xf numFmtId="166" fontId="33" fillId="0" borderId="19" xfId="6" applyNumberFormat="1" applyFont="1" applyFill="1" applyBorder="1" applyAlignment="1" applyProtection="1">
      <alignment horizontal="center" vertical="center"/>
      <protection locked="0"/>
    </xf>
    <xf numFmtId="166" fontId="33" fillId="0" borderId="30" xfId="6" applyNumberFormat="1" applyFont="1" applyFill="1" applyBorder="1" applyAlignment="1" applyProtection="1">
      <alignment horizontal="center" vertical="center"/>
      <protection locked="0"/>
    </xf>
    <xf numFmtId="166" fontId="33" fillId="0" borderId="32" xfId="6" applyNumberFormat="1" applyFont="1" applyFill="1" applyBorder="1" applyAlignment="1" applyProtection="1">
      <alignment horizontal="center" vertical="center"/>
      <protection locked="0"/>
    </xf>
    <xf numFmtId="166" fontId="33" fillId="0" borderId="48" xfId="6" applyNumberFormat="1" applyFont="1" applyFill="1" applyBorder="1" applyAlignment="1" applyProtection="1">
      <alignment horizontal="center" vertical="center"/>
      <protection locked="0"/>
    </xf>
    <xf numFmtId="166" fontId="5" fillId="0" borderId="0" xfId="0" applyNumberFormat="1" applyFont="1"/>
    <xf numFmtId="0" fontId="63" fillId="0" borderId="8" xfId="4" applyFont="1" applyFill="1" applyBorder="1" applyAlignment="1" applyProtection="1">
      <alignment horizontal="center" vertical="center"/>
    </xf>
    <xf numFmtId="164" fontId="0" fillId="0" borderId="0" xfId="0" applyNumberFormat="1"/>
    <xf numFmtId="164" fontId="19" fillId="2" borderId="16" xfId="5" applyNumberFormat="1" applyFont="1" applyFill="1" applyBorder="1" applyAlignment="1" applyProtection="1">
      <alignment horizontal="center" vertical="center" wrapText="1"/>
    </xf>
    <xf numFmtId="49" fontId="19" fillId="0" borderId="14" xfId="5" applyNumberFormat="1" applyFont="1" applyFill="1" applyBorder="1" applyAlignment="1">
      <alignment horizontal="center" vertical="center" wrapText="1"/>
    </xf>
    <xf numFmtId="166" fontId="99" fillId="0" borderId="13" xfId="6" applyNumberFormat="1" applyFont="1" applyFill="1" applyBorder="1" applyAlignment="1" applyProtection="1">
      <alignment horizontal="center" vertical="center"/>
      <protection locked="0"/>
    </xf>
    <xf numFmtId="0" fontId="76" fillId="0" borderId="13" xfId="0" applyFont="1" applyFill="1" applyBorder="1" applyAlignment="1">
      <alignment wrapText="1"/>
    </xf>
    <xf numFmtId="166" fontId="14" fillId="0" borderId="33" xfId="1" applyNumberFormat="1" applyFont="1" applyFill="1" applyBorder="1"/>
    <xf numFmtId="0" fontId="76" fillId="0" borderId="11" xfId="0" applyFont="1" applyFill="1" applyBorder="1"/>
    <xf numFmtId="0" fontId="76" fillId="0" borderId="12" xfId="0" applyFont="1" applyFill="1" applyBorder="1"/>
    <xf numFmtId="166" fontId="13" fillId="0" borderId="8" xfId="1" applyNumberFormat="1" applyFont="1" applyFill="1" applyBorder="1"/>
    <xf numFmtId="0" fontId="81" fillId="0" borderId="11" xfId="0" applyFont="1" applyFill="1" applyBorder="1"/>
    <xf numFmtId="0" fontId="7" fillId="0" borderId="8" xfId="0" applyFont="1" applyFill="1" applyBorder="1"/>
    <xf numFmtId="166" fontId="7" fillId="0" borderId="6" xfId="1" applyNumberFormat="1" applyFont="1" applyFill="1" applyBorder="1"/>
    <xf numFmtId="166" fontId="7" fillId="0" borderId="8" xfId="0" applyNumberFormat="1" applyFont="1" applyFill="1" applyBorder="1"/>
    <xf numFmtId="166" fontId="0" fillId="0" borderId="0" xfId="0" applyNumberFormat="1" applyAlignment="1"/>
    <xf numFmtId="3" fontId="100" fillId="0" borderId="8" xfId="0" applyNumberFormat="1" applyFont="1" applyFill="1" applyBorder="1"/>
    <xf numFmtId="3" fontId="19" fillId="2" borderId="33" xfId="0" applyNumberFormat="1" applyFont="1" applyFill="1" applyBorder="1" applyAlignment="1">
      <alignment horizontal="center"/>
    </xf>
    <xf numFmtId="3" fontId="14" fillId="2" borderId="8" xfId="0" applyNumberFormat="1" applyFont="1" applyFill="1" applyBorder="1" applyAlignment="1">
      <alignment horizontal="center"/>
    </xf>
    <xf numFmtId="0" fontId="13" fillId="0" borderId="3" xfId="0" applyFont="1" applyBorder="1" applyAlignment="1">
      <alignment wrapText="1"/>
    </xf>
    <xf numFmtId="166" fontId="13" fillId="0" borderId="3" xfId="1" applyNumberFormat="1" applyFont="1" applyBorder="1"/>
    <xf numFmtId="166" fontId="5" fillId="2" borderId="18" xfId="1" applyNumberFormat="1" applyFont="1" applyFill="1" applyBorder="1" applyAlignment="1"/>
    <xf numFmtId="166" fontId="5" fillId="0" borderId="45" xfId="1" applyNumberFormat="1" applyFont="1" applyFill="1" applyBorder="1"/>
    <xf numFmtId="0" fontId="8" fillId="2" borderId="0" xfId="0" applyFont="1" applyFill="1" applyBorder="1" applyAlignment="1">
      <alignment horizontal="center" wrapText="1"/>
    </xf>
    <xf numFmtId="0" fontId="28" fillId="2" borderId="58" xfId="0" applyFont="1" applyFill="1" applyBorder="1" applyAlignment="1">
      <alignment horizontal="center" vertical="center" wrapText="1"/>
    </xf>
    <xf numFmtId="0" fontId="40" fillId="2" borderId="25" xfId="0" applyFont="1" applyFill="1" applyBorder="1" applyAlignment="1">
      <alignment horizontal="center" vertical="center" wrapText="1"/>
    </xf>
    <xf numFmtId="3" fontId="28" fillId="2" borderId="9" xfId="0" applyNumberFormat="1" applyFont="1" applyFill="1" applyBorder="1" applyAlignment="1">
      <alignment horizontal="left" wrapText="1"/>
    </xf>
    <xf numFmtId="3" fontId="28" fillId="2" borderId="7" xfId="0" applyNumberFormat="1" applyFont="1" applyFill="1" applyBorder="1" applyAlignment="1">
      <alignment horizontal="left" wrapText="1"/>
    </xf>
    <xf numFmtId="3" fontId="28" fillId="2" borderId="69" xfId="0" applyNumberFormat="1" applyFont="1" applyFill="1" applyBorder="1" applyAlignment="1">
      <alignment horizontal="left" wrapText="1"/>
    </xf>
    <xf numFmtId="0" fontId="0" fillId="2" borderId="7" xfId="0" applyFont="1" applyFill="1" applyBorder="1" applyAlignment="1">
      <alignment horizontal="right"/>
    </xf>
    <xf numFmtId="0" fontId="11" fillId="2" borderId="7" xfId="0" applyFont="1" applyFill="1" applyBorder="1" applyAlignment="1">
      <alignment horizontal="right"/>
    </xf>
    <xf numFmtId="0" fontId="19" fillId="2" borderId="4" xfId="0" applyFont="1" applyFill="1" applyBorder="1" applyAlignment="1">
      <alignment horizontal="center" vertical="center"/>
    </xf>
    <xf numFmtId="0" fontId="39" fillId="2" borderId="6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9" fillId="0" borderId="9" xfId="0" applyFont="1" applyBorder="1" applyAlignment="1">
      <alignment horizontal="left" wrapText="1"/>
    </xf>
    <xf numFmtId="0" fontId="49" fillId="0" borderId="41" xfId="0" applyFont="1" applyBorder="1" applyAlignment="1">
      <alignment horizontal="left" wrapText="1"/>
    </xf>
    <xf numFmtId="0" fontId="49" fillId="0" borderId="33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6" fillId="0" borderId="41" xfId="0" applyFont="1" applyBorder="1" applyAlignment="1">
      <alignment horizontal="left"/>
    </xf>
    <xf numFmtId="0" fontId="16" fillId="0" borderId="33" xfId="0" applyFont="1" applyBorder="1" applyAlignment="1">
      <alignment horizontal="left"/>
    </xf>
    <xf numFmtId="0" fontId="16" fillId="0" borderId="9" xfId="0" applyFont="1" applyBorder="1" applyAlignment="1">
      <alignment horizontal="center" wrapText="1"/>
    </xf>
    <xf numFmtId="0" fontId="16" fillId="0" borderId="41" xfId="0" applyFont="1" applyBorder="1" applyAlignment="1">
      <alignment horizontal="center" wrapText="1"/>
    </xf>
    <xf numFmtId="0" fontId="16" fillId="0" borderId="33" xfId="0" applyFont="1" applyBorder="1" applyAlignment="1">
      <alignment horizontal="center" wrapText="1"/>
    </xf>
    <xf numFmtId="0" fontId="16" fillId="0" borderId="9" xfId="0" applyFont="1" applyBorder="1" applyAlignment="1"/>
    <xf numFmtId="0" fontId="16" fillId="0" borderId="41" xfId="0" applyFont="1" applyBorder="1" applyAlignment="1"/>
    <xf numFmtId="0" fontId="16" fillId="0" borderId="33" xfId="0" applyFont="1" applyBorder="1" applyAlignment="1"/>
    <xf numFmtId="0" fontId="16" fillId="0" borderId="9" xfId="0" applyFont="1" applyBorder="1" applyAlignment="1" applyProtection="1">
      <alignment horizontal="left" wrapText="1"/>
    </xf>
    <xf numFmtId="0" fontId="16" fillId="0" borderId="41" xfId="0" applyFont="1" applyBorder="1" applyAlignment="1" applyProtection="1">
      <alignment horizontal="left" wrapText="1"/>
    </xf>
    <xf numFmtId="0" fontId="16" fillId="0" borderId="33" xfId="0" applyFont="1" applyBorder="1" applyAlignment="1" applyProtection="1">
      <alignment horizontal="left" wrapText="1"/>
    </xf>
    <xf numFmtId="0" fontId="37" fillId="0" borderId="9" xfId="0" applyFont="1" applyBorder="1" applyAlignment="1"/>
    <xf numFmtId="0" fontId="37" fillId="0" borderId="41" xfId="0" applyFont="1" applyBorder="1" applyAlignment="1"/>
    <xf numFmtId="0" fontId="37" fillId="0" borderId="33" xfId="0" applyFont="1" applyBorder="1" applyAlignment="1"/>
    <xf numFmtId="0" fontId="88" fillId="0" borderId="9" xfId="0" applyFont="1" applyBorder="1" applyAlignment="1">
      <alignment horizontal="left"/>
    </xf>
    <xf numFmtId="0" fontId="88" fillId="0" borderId="41" xfId="0" applyFont="1" applyBorder="1" applyAlignment="1">
      <alignment horizontal="left"/>
    </xf>
    <xf numFmtId="0" fontId="88" fillId="0" borderId="33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6" fillId="0" borderId="72" xfId="0" applyFont="1" applyBorder="1" applyAlignment="1">
      <alignment horizontal="left"/>
    </xf>
    <xf numFmtId="0" fontId="16" fillId="0" borderId="37" xfId="0" applyFont="1" applyBorder="1" applyAlignment="1">
      <alignment horizontal="left"/>
    </xf>
    <xf numFmtId="0" fontId="15" fillId="2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8" xfId="0" applyFont="1" applyBorder="1" applyAlignment="1">
      <alignment vertical="center" wrapText="1"/>
    </xf>
    <xf numFmtId="0" fontId="67" fillId="0" borderId="11" xfId="0" applyFont="1" applyBorder="1" applyAlignment="1">
      <alignment horizontal="left"/>
    </xf>
    <xf numFmtId="0" fontId="67" fillId="0" borderId="73" xfId="0" applyFont="1" applyBorder="1" applyAlignment="1">
      <alignment horizontal="left"/>
    </xf>
    <xf numFmtId="0" fontId="67" fillId="0" borderId="36" xfId="0" applyFont="1" applyBorder="1" applyAlignment="1">
      <alignment horizontal="left"/>
    </xf>
    <xf numFmtId="0" fontId="19" fillId="0" borderId="67" xfId="0" applyFont="1" applyBorder="1" applyAlignment="1">
      <alignment horizontal="center" vertical="center" wrapText="1"/>
    </xf>
    <xf numFmtId="0" fontId="39" fillId="0" borderId="6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58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5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2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9" xfId="0" applyFont="1" applyBorder="1" applyAlignment="1">
      <alignment horizontal="center"/>
    </xf>
    <xf numFmtId="49" fontId="7" fillId="2" borderId="13" xfId="5" applyNumberFormat="1" applyFont="1" applyFill="1" applyBorder="1" applyAlignment="1">
      <alignment horizontal="center" vertical="center" wrapText="1"/>
    </xf>
    <xf numFmtId="49" fontId="25" fillId="0" borderId="0" xfId="5" applyNumberFormat="1" applyFont="1" applyFill="1" applyBorder="1" applyAlignment="1">
      <alignment horizontal="center"/>
    </xf>
    <xf numFmtId="49" fontId="7" fillId="0" borderId="74" xfId="5" applyNumberFormat="1" applyFont="1" applyFill="1" applyBorder="1" applyAlignment="1">
      <alignment horizontal="center" vertical="center" wrapText="1"/>
    </xf>
    <xf numFmtId="49" fontId="7" fillId="0" borderId="75" xfId="5" applyNumberFormat="1" applyFont="1" applyFill="1" applyBorder="1" applyAlignment="1">
      <alignment horizontal="center" vertical="center" wrapText="1"/>
    </xf>
    <xf numFmtId="164" fontId="7" fillId="0" borderId="76" xfId="5" applyNumberFormat="1" applyFont="1" applyFill="1" applyBorder="1" applyAlignment="1">
      <alignment horizontal="center" vertical="center"/>
    </xf>
    <xf numFmtId="164" fontId="7" fillId="0" borderId="77" xfId="5" applyNumberFormat="1" applyFont="1" applyFill="1" applyBorder="1" applyAlignment="1">
      <alignment horizontal="center" vertical="center"/>
    </xf>
    <xf numFmtId="164" fontId="7" fillId="0" borderId="76" xfId="5" applyNumberFormat="1" applyFont="1" applyFill="1" applyBorder="1" applyAlignment="1">
      <alignment horizontal="center" vertical="center" wrapText="1"/>
    </xf>
    <xf numFmtId="164" fontId="7" fillId="0" borderId="77" xfId="5" applyNumberFormat="1" applyFont="1" applyFill="1" applyBorder="1" applyAlignment="1">
      <alignment horizontal="center" vertical="center" wrapText="1"/>
    </xf>
    <xf numFmtId="164" fontId="7" fillId="0" borderId="78" xfId="5" applyNumberFormat="1" applyFont="1" applyFill="1" applyBorder="1" applyAlignment="1">
      <alignment horizontal="center" vertical="center"/>
    </xf>
    <xf numFmtId="164" fontId="7" fillId="0" borderId="79" xfId="5" applyNumberFormat="1" applyFont="1" applyFill="1" applyBorder="1" applyAlignment="1">
      <alignment horizontal="center" vertical="center"/>
    </xf>
    <xf numFmtId="164" fontId="7" fillId="0" borderId="80" xfId="5" applyNumberFormat="1" applyFont="1" applyFill="1" applyBorder="1" applyAlignment="1">
      <alignment horizontal="center" vertical="center"/>
    </xf>
    <xf numFmtId="0" fontId="15" fillId="0" borderId="9" xfId="4" applyFont="1" applyFill="1" applyBorder="1" applyAlignment="1" applyProtection="1">
      <alignment horizontal="left" vertical="center" wrapText="1"/>
    </xf>
    <xf numFmtId="0" fontId="15" fillId="0" borderId="41" xfId="4" applyFont="1" applyFill="1" applyBorder="1" applyAlignment="1" applyProtection="1">
      <alignment horizontal="left" vertical="center" wrapText="1"/>
    </xf>
    <xf numFmtId="0" fontId="15" fillId="0" borderId="50" xfId="4" applyFont="1" applyFill="1" applyBorder="1" applyAlignment="1" applyProtection="1">
      <alignment horizontal="left" vertical="center" wrapText="1"/>
    </xf>
    <xf numFmtId="164" fontId="15" fillId="0" borderId="0" xfId="4" applyNumberFormat="1" applyFont="1" applyFill="1" applyBorder="1" applyAlignment="1" applyProtection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5" fillId="0" borderId="0" xfId="0" applyNumberFormat="1" applyFont="1" applyFill="1" applyBorder="1" applyAlignment="1">
      <alignment horizontal="center" vertical="center" wrapText="1"/>
    </xf>
    <xf numFmtId="164" fontId="34" fillId="0" borderId="7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1" fillId="0" borderId="0" xfId="0" applyFont="1" applyAlignment="1">
      <alignment horizontal="center" wrapText="1"/>
    </xf>
    <xf numFmtId="0" fontId="5" fillId="2" borderId="7" xfId="0" applyFont="1" applyFill="1" applyBorder="1" applyAlignment="1">
      <alignment horizontal="right"/>
    </xf>
    <xf numFmtId="0" fontId="85" fillId="0" borderId="81" xfId="0" applyFont="1" applyFill="1" applyBorder="1" applyAlignment="1">
      <alignment horizontal="center"/>
    </xf>
    <xf numFmtId="0" fontId="85" fillId="0" borderId="82" xfId="0" applyFont="1" applyFill="1" applyBorder="1" applyAlignment="1">
      <alignment horizontal="center"/>
    </xf>
    <xf numFmtId="0" fontId="85" fillId="0" borderId="83" xfId="0" applyFont="1" applyFill="1" applyBorder="1" applyAlignment="1">
      <alignment horizontal="center"/>
    </xf>
    <xf numFmtId="0" fontId="85" fillId="0" borderId="26" xfId="0" applyFont="1" applyFill="1" applyBorder="1" applyAlignment="1">
      <alignment horizontal="center"/>
    </xf>
    <xf numFmtId="0" fontId="85" fillId="0" borderId="1" xfId="0" applyFont="1" applyFill="1" applyBorder="1" applyAlignment="1">
      <alignment horizontal="center"/>
    </xf>
    <xf numFmtId="0" fontId="85" fillId="0" borderId="67" xfId="0" applyFont="1" applyFill="1" applyBorder="1" applyAlignment="1">
      <alignment horizontal="center"/>
    </xf>
    <xf numFmtId="0" fontId="85" fillId="0" borderId="31" xfId="0" applyFont="1" applyFill="1" applyBorder="1" applyAlignment="1">
      <alignment horizontal="center"/>
    </xf>
    <xf numFmtId="0" fontId="85" fillId="0" borderId="7" xfId="0" applyFont="1" applyFill="1" applyBorder="1" applyAlignment="1">
      <alignment horizontal="center"/>
    </xf>
    <xf numFmtId="0" fontId="85" fillId="0" borderId="69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43" fillId="0" borderId="0" xfId="0" applyNumberFormat="1" applyFont="1" applyAlignment="1">
      <alignment horizontal="left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0" fontId="42" fillId="0" borderId="0" xfId="0" applyFont="1" applyAlignment="1">
      <alignment horizontal="center"/>
    </xf>
    <xf numFmtId="166" fontId="44" fillId="0" borderId="9" xfId="1" applyNumberFormat="1" applyFont="1" applyBorder="1" applyAlignment="1">
      <alignment horizontal="center"/>
    </xf>
    <xf numFmtId="166" fontId="44" fillId="0" borderId="33" xfId="1" applyNumberFormat="1" applyFont="1" applyBorder="1" applyAlignment="1">
      <alignment horizontal="center"/>
    </xf>
    <xf numFmtId="0" fontId="0" fillId="0" borderId="0" xfId="0" applyAlignment="1">
      <alignment horizontal="left" wrapText="1"/>
    </xf>
    <xf numFmtId="0" fontId="44" fillId="0" borderId="9" xfId="0" applyFont="1" applyBorder="1" applyAlignment="1">
      <alignment vertical="center" wrapText="1"/>
    </xf>
    <xf numFmtId="0" fontId="44" fillId="0" borderId="41" xfId="0" applyFont="1" applyBorder="1" applyAlignment="1">
      <alignment vertical="center" wrapText="1"/>
    </xf>
    <xf numFmtId="0" fontId="44" fillId="0" borderId="33" xfId="0" applyFont="1" applyBorder="1" applyAlignment="1">
      <alignment vertical="center" wrapText="1"/>
    </xf>
    <xf numFmtId="0" fontId="45" fillId="0" borderId="9" xfId="0" applyFont="1" applyBorder="1" applyAlignment="1">
      <alignment horizontal="center"/>
    </xf>
    <xf numFmtId="0" fontId="45" fillId="0" borderId="41" xfId="0" applyFont="1" applyBorder="1" applyAlignment="1">
      <alignment horizontal="center"/>
    </xf>
    <xf numFmtId="0" fontId="45" fillId="0" borderId="33" xfId="0" applyFont="1" applyBorder="1" applyAlignment="1">
      <alignment horizontal="center"/>
    </xf>
    <xf numFmtId="166" fontId="45" fillId="0" borderId="9" xfId="1" applyNumberFormat="1" applyFont="1" applyBorder="1" applyAlignment="1">
      <alignment horizontal="center"/>
    </xf>
    <xf numFmtId="166" fontId="45" fillId="0" borderId="33" xfId="1" applyNumberFormat="1" applyFont="1" applyBorder="1" applyAlignment="1">
      <alignment horizontal="center"/>
    </xf>
    <xf numFmtId="166" fontId="45" fillId="0" borderId="31" xfId="1" applyNumberFormat="1" applyFont="1" applyBorder="1" applyAlignment="1">
      <alignment horizontal="center"/>
    </xf>
    <xf numFmtId="166" fontId="45" fillId="0" borderId="69" xfId="1" applyNumberFormat="1" applyFont="1" applyBorder="1" applyAlignment="1">
      <alignment horizontal="center"/>
    </xf>
    <xf numFmtId="0" fontId="44" fillId="0" borderId="9" xfId="0" applyFont="1" applyBorder="1" applyAlignment="1">
      <alignment horizontal="left" vertical="center" wrapText="1"/>
    </xf>
    <xf numFmtId="0" fontId="44" fillId="0" borderId="41" xfId="0" applyFont="1" applyBorder="1" applyAlignment="1">
      <alignment horizontal="left" vertical="center" wrapText="1"/>
    </xf>
    <xf numFmtId="0" fontId="44" fillId="0" borderId="33" xfId="0" applyFont="1" applyBorder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0" fontId="3" fillId="0" borderId="57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0" fontId="44" fillId="0" borderId="7" xfId="0" applyFont="1" applyBorder="1" applyAlignment="1">
      <alignment horizontal="right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95" fillId="0" borderId="41" xfId="4" applyFont="1" applyFill="1" applyBorder="1" applyAlignment="1">
      <alignment horizontal="center" wrapText="1"/>
    </xf>
    <xf numFmtId="0" fontId="95" fillId="0" borderId="33" xfId="4" applyFont="1" applyFill="1" applyBorder="1" applyAlignment="1">
      <alignment horizontal="center" wrapText="1"/>
    </xf>
    <xf numFmtId="0" fontId="91" fillId="0" borderId="9" xfId="0" applyFont="1" applyBorder="1" applyAlignment="1">
      <alignment horizontal="left" wrapText="1"/>
    </xf>
    <xf numFmtId="0" fontId="91" fillId="0" borderId="41" xfId="0" applyFont="1" applyBorder="1" applyAlignment="1">
      <alignment horizontal="left" wrapText="1"/>
    </xf>
    <xf numFmtId="0" fontId="91" fillId="0" borderId="33" xfId="0" applyFont="1" applyBorder="1" applyAlignment="1">
      <alignment horizontal="left" wrapText="1"/>
    </xf>
    <xf numFmtId="164" fontId="35" fillId="0" borderId="0" xfId="4" applyNumberFormat="1" applyFont="1" applyFill="1" applyBorder="1" applyAlignment="1" applyProtection="1">
      <alignment horizontal="center" vertical="center" wrapText="1"/>
    </xf>
    <xf numFmtId="0" fontId="56" fillId="0" borderId="7" xfId="3" applyFont="1" applyFill="1" applyBorder="1" applyAlignment="1" applyProtection="1">
      <alignment horizontal="right"/>
    </xf>
    <xf numFmtId="0" fontId="57" fillId="0" borderId="7" xfId="3" applyFont="1" applyFill="1" applyBorder="1" applyAlignment="1" applyProtection="1">
      <alignment horizontal="right"/>
    </xf>
    <xf numFmtId="0" fontId="58" fillId="0" borderId="17" xfId="4" applyFont="1" applyFill="1" applyBorder="1" applyAlignment="1">
      <alignment horizontal="center" vertical="center" wrapText="1"/>
    </xf>
    <xf numFmtId="0" fontId="58" fillId="0" borderId="53" xfId="4" applyFont="1" applyFill="1" applyBorder="1" applyAlignment="1">
      <alignment horizontal="center" vertical="center" wrapText="1"/>
    </xf>
    <xf numFmtId="0" fontId="58" fillId="0" borderId="20" xfId="4" applyFont="1" applyFill="1" applyBorder="1" applyAlignment="1">
      <alignment horizontal="center" vertical="center" wrapText="1"/>
    </xf>
    <xf numFmtId="0" fontId="58" fillId="0" borderId="65" xfId="4" applyFont="1" applyFill="1" applyBorder="1" applyAlignment="1">
      <alignment horizontal="center" vertical="center" wrapText="1"/>
    </xf>
    <xf numFmtId="0" fontId="58" fillId="0" borderId="85" xfId="4" applyFont="1" applyFill="1" applyBorder="1" applyAlignment="1">
      <alignment horizontal="center" vertical="center" wrapText="1"/>
    </xf>
    <xf numFmtId="0" fontId="58" fillId="0" borderId="1" xfId="4" applyFont="1" applyFill="1" applyBorder="1" applyAlignment="1">
      <alignment horizontal="center" vertical="center" wrapText="1"/>
    </xf>
    <xf numFmtId="0" fontId="58" fillId="0" borderId="70" xfId="4" applyFont="1" applyFill="1" applyBorder="1" applyAlignment="1">
      <alignment horizontal="center" vertical="center" wrapText="1"/>
    </xf>
    <xf numFmtId="0" fontId="58" fillId="0" borderId="28" xfId="4" applyFont="1" applyFill="1" applyBorder="1" applyAlignment="1">
      <alignment horizontal="center" vertical="center" wrapText="1"/>
    </xf>
    <xf numFmtId="0" fontId="58" fillId="0" borderId="66" xfId="4" applyFont="1" applyFill="1" applyBorder="1" applyAlignment="1">
      <alignment horizontal="center" vertical="center" wrapText="1"/>
    </xf>
    <xf numFmtId="164" fontId="84" fillId="0" borderId="0" xfId="4" applyNumberFormat="1" applyFont="1" applyFill="1" applyBorder="1" applyAlignment="1" applyProtection="1">
      <alignment horizontal="center" vertical="center" wrapText="1"/>
    </xf>
    <xf numFmtId="0" fontId="90" fillId="0" borderId="9" xfId="4" applyFont="1" applyFill="1" applyBorder="1" applyAlignment="1" applyProtection="1">
      <alignment horizontal="center" vertical="center" wrapText="1"/>
    </xf>
    <xf numFmtId="0" fontId="90" fillId="0" borderId="41" xfId="4" applyFont="1" applyFill="1" applyBorder="1" applyAlignment="1" applyProtection="1">
      <alignment horizontal="center" vertical="center" wrapText="1"/>
    </xf>
    <xf numFmtId="0" fontId="90" fillId="0" borderId="33" xfId="4" applyFont="1" applyFill="1" applyBorder="1" applyAlignment="1" applyProtection="1">
      <alignment horizontal="center" vertical="center" wrapText="1"/>
    </xf>
    <xf numFmtId="0" fontId="93" fillId="0" borderId="86" xfId="4" applyFont="1" applyFill="1" applyBorder="1" applyAlignment="1">
      <alignment horizontal="center" wrapText="1"/>
    </xf>
    <xf numFmtId="0" fontId="93" fillId="0" borderId="61" xfId="4" applyFont="1" applyFill="1" applyBorder="1" applyAlignment="1">
      <alignment horizontal="center" wrapText="1"/>
    </xf>
    <xf numFmtId="0" fontId="91" fillId="0" borderId="41" xfId="4" applyFont="1" applyFill="1" applyBorder="1" applyAlignment="1">
      <alignment horizontal="center" wrapText="1"/>
    </xf>
    <xf numFmtId="0" fontId="91" fillId="0" borderId="33" xfId="4" applyFont="1" applyFill="1" applyBorder="1" applyAlignment="1">
      <alignment horizontal="center" wrapText="1"/>
    </xf>
    <xf numFmtId="0" fontId="70" fillId="0" borderId="14" xfId="4" applyFont="1" applyFill="1" applyBorder="1" applyAlignment="1" applyProtection="1">
      <alignment horizontal="left"/>
    </xf>
    <xf numFmtId="0" fontId="70" fillId="0" borderId="15" xfId="4" applyFont="1" applyFill="1" applyBorder="1" applyAlignment="1" applyProtection="1">
      <alignment horizontal="left"/>
    </xf>
    <xf numFmtId="0" fontId="70" fillId="0" borderId="9" xfId="4" applyFont="1" applyFill="1" applyBorder="1" applyAlignment="1">
      <alignment horizontal="center" wrapText="1"/>
    </xf>
    <xf numFmtId="0" fontId="70" fillId="0" borderId="33" xfId="4" applyFont="1" applyFill="1" applyBorder="1" applyAlignment="1">
      <alignment horizontal="center" wrapText="1"/>
    </xf>
    <xf numFmtId="0" fontId="70" fillId="0" borderId="9" xfId="4" applyFont="1" applyFill="1" applyBorder="1" applyAlignment="1">
      <alignment horizontal="center"/>
    </xf>
    <xf numFmtId="0" fontId="70" fillId="0" borderId="41" xfId="4" applyFont="1" applyFill="1" applyBorder="1" applyAlignment="1">
      <alignment horizontal="center"/>
    </xf>
  </cellXfs>
  <cellStyles count="7">
    <cellStyle name="Ezres" xfId="1" builtinId="3"/>
    <cellStyle name="Ezres 2" xfId="2"/>
    <cellStyle name="Ezres 2 2" xfId="6"/>
    <cellStyle name="Normál" xfId="0" builtinId="0"/>
    <cellStyle name="Normál_Adósságotkeletkeztető1" xfId="3"/>
    <cellStyle name="Normál_KVRENMUNKA" xfId="4"/>
    <cellStyle name="Normál_rendelet mellékletei (1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559223" y="16233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opLeftCell="A34" zoomScale="90" zoomScaleNormal="90" workbookViewId="0">
      <selection activeCell="M45" sqref="M45:N45"/>
    </sheetView>
  </sheetViews>
  <sheetFormatPr defaultRowHeight="14.25" x14ac:dyDescent="0.2"/>
  <cols>
    <col min="1" max="1" width="37.85546875" style="136" customWidth="1"/>
    <col min="2" max="2" width="17.140625" style="136" customWidth="1"/>
    <col min="3" max="3" width="15.28515625" style="136" customWidth="1"/>
    <col min="4" max="4" width="13.85546875" style="136" customWidth="1"/>
    <col min="5" max="7" width="13.42578125" style="136" customWidth="1"/>
    <col min="8" max="8" width="18" style="136" customWidth="1"/>
    <col min="9" max="9" width="17" style="152" customWidth="1"/>
    <col min="10" max="10" width="17.140625" style="197" bestFit="1" customWidth="1"/>
  </cols>
  <sheetData>
    <row r="1" spans="1:10" ht="37.5" customHeight="1" x14ac:dyDescent="0.25">
      <c r="A1" s="866" t="s">
        <v>404</v>
      </c>
      <c r="B1" s="866"/>
      <c r="C1" s="866"/>
      <c r="D1" s="866"/>
      <c r="E1" s="866"/>
      <c r="F1" s="866"/>
      <c r="G1" s="866"/>
      <c r="H1" s="866"/>
      <c r="I1" s="866"/>
    </row>
    <row r="2" spans="1:10" ht="15" x14ac:dyDescent="0.25">
      <c r="A2" s="148"/>
      <c r="B2" s="148"/>
      <c r="C2" s="148"/>
      <c r="D2" s="148"/>
      <c r="E2" s="148"/>
      <c r="F2" s="148"/>
      <c r="G2" s="148"/>
      <c r="H2" s="148"/>
      <c r="I2" s="149"/>
    </row>
    <row r="3" spans="1:10" ht="15" x14ac:dyDescent="0.25">
      <c r="A3" s="148"/>
      <c r="B3" s="148"/>
      <c r="C3" s="148"/>
      <c r="D3" s="148"/>
      <c r="E3" s="148"/>
      <c r="F3" s="148"/>
      <c r="G3" s="148"/>
      <c r="H3" s="148"/>
      <c r="I3" s="149"/>
      <c r="J3" s="283"/>
    </row>
    <row r="4" spans="1:10" ht="18.75" customHeight="1" thickBot="1" x14ac:dyDescent="0.25">
      <c r="A4" s="198"/>
      <c r="B4" s="198"/>
      <c r="C4" s="198"/>
      <c r="D4" s="510"/>
      <c r="E4" s="510"/>
      <c r="F4" s="510"/>
      <c r="G4" s="510"/>
      <c r="H4" s="872" t="s">
        <v>405</v>
      </c>
      <c r="I4" s="873"/>
      <c r="J4" s="283"/>
    </row>
    <row r="5" spans="1:10" s="84" customFormat="1" ht="12" customHeight="1" x14ac:dyDescent="0.2">
      <c r="A5" s="874" t="s">
        <v>198</v>
      </c>
      <c r="B5" s="876" t="s">
        <v>480</v>
      </c>
      <c r="C5" s="876" t="s">
        <v>484</v>
      </c>
      <c r="D5" s="876" t="s">
        <v>481</v>
      </c>
      <c r="E5" s="876" t="s">
        <v>485</v>
      </c>
      <c r="F5" s="876" t="s">
        <v>482</v>
      </c>
      <c r="G5" s="876" t="s">
        <v>486</v>
      </c>
      <c r="H5" s="867" t="s">
        <v>483</v>
      </c>
      <c r="I5" s="867" t="s">
        <v>487</v>
      </c>
      <c r="J5" s="144"/>
    </row>
    <row r="6" spans="1:10" s="84" customFormat="1" ht="51" customHeight="1" thickBot="1" x14ac:dyDescent="0.25">
      <c r="A6" s="875"/>
      <c r="B6" s="877"/>
      <c r="C6" s="877"/>
      <c r="D6" s="877"/>
      <c r="E6" s="877"/>
      <c r="F6" s="877"/>
      <c r="G6" s="877"/>
      <c r="H6" s="868"/>
      <c r="I6" s="868"/>
      <c r="J6" s="144"/>
    </row>
    <row r="7" spans="1:10" s="84" customFormat="1" ht="33.75" customHeight="1" thickBot="1" x14ac:dyDescent="0.3">
      <c r="A7" s="563" t="s">
        <v>159</v>
      </c>
      <c r="B7" s="309">
        <f>B8+B16</f>
        <v>711198261</v>
      </c>
      <c r="C7" s="309">
        <f>C8+C16+C15</f>
        <v>369018600</v>
      </c>
      <c r="D7" s="309">
        <f t="shared" ref="D7:G7" si="0">D8+D16</f>
        <v>9705467</v>
      </c>
      <c r="E7" s="309">
        <f t="shared" si="0"/>
        <v>0</v>
      </c>
      <c r="F7" s="309">
        <f>F8+F16</f>
        <v>0</v>
      </c>
      <c r="G7" s="309">
        <f t="shared" si="0"/>
        <v>0</v>
      </c>
      <c r="H7" s="309">
        <f>F7+D7+B7</f>
        <v>720903728</v>
      </c>
      <c r="I7" s="562">
        <f>G7+E7+C7</f>
        <v>369018600</v>
      </c>
      <c r="J7" s="144"/>
    </row>
    <row r="8" spans="1:10" s="84" customFormat="1" ht="33.75" customHeight="1" x14ac:dyDescent="0.25">
      <c r="A8" s="307" t="s">
        <v>164</v>
      </c>
      <c r="B8" s="561">
        <f>SUM(B9:B13)</f>
        <v>283375228</v>
      </c>
      <c r="C8" s="561">
        <f>SUM(C9:C13)</f>
        <v>336750171</v>
      </c>
      <c r="D8" s="561">
        <f t="shared" ref="D8:G8" si="1">SUM(D9:D13)</f>
        <v>0</v>
      </c>
      <c r="E8" s="561">
        <f t="shared" si="1"/>
        <v>0</v>
      </c>
      <c r="F8" s="561">
        <f t="shared" si="1"/>
        <v>0</v>
      </c>
      <c r="G8" s="561">
        <f t="shared" si="1"/>
        <v>0</v>
      </c>
      <c r="H8" s="561">
        <f t="shared" ref="H8:I33" si="2">F8+D8+B8</f>
        <v>283375228</v>
      </c>
      <c r="I8" s="561">
        <f t="shared" si="2"/>
        <v>336750171</v>
      </c>
      <c r="J8" s="144"/>
    </row>
    <row r="9" spans="1:10" s="84" customFormat="1" ht="36" customHeight="1" x14ac:dyDescent="0.25">
      <c r="A9" s="550" t="s">
        <v>160</v>
      </c>
      <c r="B9" s="310">
        <v>179789816</v>
      </c>
      <c r="C9" s="310">
        <v>158817238</v>
      </c>
      <c r="D9" s="554">
        <v>0</v>
      </c>
      <c r="E9" s="311"/>
      <c r="F9" s="311">
        <v>0</v>
      </c>
      <c r="G9" s="347"/>
      <c r="H9" s="561">
        <f t="shared" si="2"/>
        <v>179789816</v>
      </c>
      <c r="I9" s="561">
        <f t="shared" si="2"/>
        <v>158817238</v>
      </c>
      <c r="J9" s="144"/>
    </row>
    <row r="10" spans="1:10" s="84" customFormat="1" ht="46.5" customHeight="1" x14ac:dyDescent="0.25">
      <c r="A10" s="550" t="s">
        <v>345</v>
      </c>
      <c r="B10" s="312">
        <v>70536434</v>
      </c>
      <c r="C10" s="312">
        <v>93354563</v>
      </c>
      <c r="D10" s="554">
        <v>0</v>
      </c>
      <c r="E10" s="311"/>
      <c r="F10" s="311">
        <v>0</v>
      </c>
      <c r="G10" s="347"/>
      <c r="H10" s="305">
        <f t="shared" si="2"/>
        <v>70536434</v>
      </c>
      <c r="I10" s="305">
        <f t="shared" si="2"/>
        <v>93354563</v>
      </c>
      <c r="J10" s="144"/>
    </row>
    <row r="11" spans="1:10" s="84" customFormat="1" ht="40.5" customHeight="1" x14ac:dyDescent="0.25">
      <c r="A11" s="550" t="s">
        <v>161</v>
      </c>
      <c r="B11" s="312">
        <v>7275694</v>
      </c>
      <c r="C11" s="312">
        <v>6674085</v>
      </c>
      <c r="D11" s="555">
        <v>0</v>
      </c>
      <c r="E11" s="313"/>
      <c r="F11" s="313">
        <v>0</v>
      </c>
      <c r="G11" s="348"/>
      <c r="H11" s="305">
        <f t="shared" si="2"/>
        <v>7275694</v>
      </c>
      <c r="I11" s="305">
        <f t="shared" si="2"/>
        <v>6674085</v>
      </c>
      <c r="J11" s="144"/>
    </row>
    <row r="12" spans="1:10" s="84" customFormat="1" ht="51.75" customHeight="1" x14ac:dyDescent="0.25">
      <c r="A12" s="550" t="s">
        <v>163</v>
      </c>
      <c r="B12" s="312">
        <v>25773284</v>
      </c>
      <c r="C12" s="312">
        <v>77904285</v>
      </c>
      <c r="D12" s="555">
        <v>0</v>
      </c>
      <c r="E12" s="313"/>
      <c r="F12" s="313">
        <v>0</v>
      </c>
      <c r="G12" s="348"/>
      <c r="H12" s="305">
        <f t="shared" si="2"/>
        <v>25773284</v>
      </c>
      <c r="I12" s="305">
        <f t="shared" si="2"/>
        <v>77904285</v>
      </c>
      <c r="J12" s="144"/>
    </row>
    <row r="13" spans="1:10" s="84" customFormat="1" ht="66" customHeight="1" x14ac:dyDescent="0.25">
      <c r="A13" s="550" t="s">
        <v>162</v>
      </c>
      <c r="B13" s="312"/>
      <c r="C13" s="312"/>
      <c r="D13" s="555">
        <v>0</v>
      </c>
      <c r="E13" s="313"/>
      <c r="F13" s="313">
        <v>0</v>
      </c>
      <c r="G13" s="348"/>
      <c r="H13" s="305">
        <f t="shared" si="2"/>
        <v>0</v>
      </c>
      <c r="I13" s="305">
        <f t="shared" si="2"/>
        <v>0</v>
      </c>
      <c r="J13" s="144"/>
    </row>
    <row r="14" spans="1:10" s="254" customFormat="1" ht="66" customHeight="1" x14ac:dyDescent="0.25">
      <c r="A14" s="551" t="s">
        <v>364</v>
      </c>
      <c r="B14" s="560">
        <v>0</v>
      </c>
      <c r="C14" s="560"/>
      <c r="D14" s="556">
        <v>0</v>
      </c>
      <c r="E14" s="315"/>
      <c r="F14" s="315">
        <v>0</v>
      </c>
      <c r="G14" s="349"/>
      <c r="H14" s="461">
        <f t="shared" si="2"/>
        <v>0</v>
      </c>
      <c r="I14" s="305">
        <f t="shared" si="2"/>
        <v>0</v>
      </c>
      <c r="J14" s="253"/>
    </row>
    <row r="15" spans="1:10" s="254" customFormat="1" ht="66" customHeight="1" x14ac:dyDescent="0.25">
      <c r="A15" s="551" t="s">
        <v>436</v>
      </c>
      <c r="B15" s="314">
        <v>0</v>
      </c>
      <c r="C15" s="314"/>
      <c r="D15" s="556"/>
      <c r="E15" s="315"/>
      <c r="F15" s="315"/>
      <c r="G15" s="349"/>
      <c r="H15" s="671"/>
      <c r="I15" s="305">
        <f t="shared" si="2"/>
        <v>0</v>
      </c>
      <c r="J15" s="253"/>
    </row>
    <row r="16" spans="1:10" s="254" customFormat="1" ht="58.5" customHeight="1" thickBot="1" x14ac:dyDescent="0.3">
      <c r="A16" s="551" t="s">
        <v>301</v>
      </c>
      <c r="B16" s="314">
        <v>427823033</v>
      </c>
      <c r="C16" s="314">
        <v>32268429</v>
      </c>
      <c r="D16" s="556">
        <v>9705467</v>
      </c>
      <c r="E16" s="315"/>
      <c r="F16" s="315"/>
      <c r="G16" s="349"/>
      <c r="H16" s="316">
        <f t="shared" si="2"/>
        <v>437528500</v>
      </c>
      <c r="I16" s="316">
        <f t="shared" si="2"/>
        <v>32268429</v>
      </c>
      <c r="J16" s="253"/>
    </row>
    <row r="17" spans="1:17" s="256" customFormat="1" ht="41.25" customHeight="1" thickBot="1" x14ac:dyDescent="0.3">
      <c r="A17" s="552" t="s">
        <v>165</v>
      </c>
      <c r="B17" s="308">
        <f t="shared" ref="B17:G17" si="3">SUM(B18:B19)</f>
        <v>671697561</v>
      </c>
      <c r="C17" s="309">
        <f>SUM(C18:C19)</f>
        <v>1502501030</v>
      </c>
      <c r="D17" s="309">
        <f t="shared" si="3"/>
        <v>0</v>
      </c>
      <c r="E17" s="309">
        <f t="shared" si="3"/>
        <v>0</v>
      </c>
      <c r="F17" s="309">
        <f t="shared" si="3"/>
        <v>0</v>
      </c>
      <c r="G17" s="309">
        <f t="shared" si="3"/>
        <v>0</v>
      </c>
      <c r="H17" s="309">
        <f t="shared" si="2"/>
        <v>671697561</v>
      </c>
      <c r="I17" s="562">
        <f t="shared" si="2"/>
        <v>1502501030</v>
      </c>
      <c r="J17" s="255"/>
    </row>
    <row r="18" spans="1:17" s="84" customFormat="1" ht="43.5" x14ac:dyDescent="0.25">
      <c r="A18" s="553" t="s">
        <v>250</v>
      </c>
      <c r="B18" s="310">
        <v>16999999</v>
      </c>
      <c r="C18" s="310"/>
      <c r="D18" s="311">
        <v>0</v>
      </c>
      <c r="E18" s="311"/>
      <c r="F18" s="311">
        <v>0</v>
      </c>
      <c r="G18" s="311"/>
      <c r="H18" s="561">
        <f t="shared" si="2"/>
        <v>16999999</v>
      </c>
      <c r="I18" s="561">
        <f t="shared" si="2"/>
        <v>0</v>
      </c>
      <c r="J18" s="144"/>
    </row>
    <row r="19" spans="1:17" s="84" customFormat="1" ht="48.75" customHeight="1" thickBot="1" x14ac:dyDescent="0.3">
      <c r="A19" s="565" t="s">
        <v>166</v>
      </c>
      <c r="B19" s="317">
        <v>654697562</v>
      </c>
      <c r="C19" s="317">
        <v>1502501030</v>
      </c>
      <c r="D19" s="318">
        <v>0</v>
      </c>
      <c r="E19" s="318"/>
      <c r="F19" s="318">
        <v>0</v>
      </c>
      <c r="G19" s="318"/>
      <c r="H19" s="316">
        <f t="shared" si="2"/>
        <v>654697562</v>
      </c>
      <c r="I19" s="316">
        <f>G19+E19+C19</f>
        <v>1502501030</v>
      </c>
      <c r="J19" s="144"/>
    </row>
    <row r="20" spans="1:17" s="200" customFormat="1" ht="45" customHeight="1" thickBot="1" x14ac:dyDescent="0.3">
      <c r="A20" s="635" t="s">
        <v>152</v>
      </c>
      <c r="B20" s="566">
        <f t="shared" ref="B20:G20" si="4">B22+B23+B26+B21</f>
        <v>98637447</v>
      </c>
      <c r="C20" s="566">
        <f t="shared" si="4"/>
        <v>97402000</v>
      </c>
      <c r="D20" s="566">
        <f t="shared" si="4"/>
        <v>0</v>
      </c>
      <c r="E20" s="566">
        <f t="shared" si="4"/>
        <v>0</v>
      </c>
      <c r="F20" s="566">
        <f t="shared" si="4"/>
        <v>0</v>
      </c>
      <c r="G20" s="566">
        <f t="shared" si="4"/>
        <v>0</v>
      </c>
      <c r="H20" s="559">
        <f t="shared" si="2"/>
        <v>98637447</v>
      </c>
      <c r="I20" s="564">
        <f t="shared" si="2"/>
        <v>97402000</v>
      </c>
      <c r="J20" s="199"/>
    </row>
    <row r="21" spans="1:17" s="200" customFormat="1" ht="45" customHeight="1" thickBot="1" x14ac:dyDescent="0.3">
      <c r="A21" s="637" t="s">
        <v>406</v>
      </c>
      <c r="B21" s="716">
        <v>0</v>
      </c>
      <c r="C21" s="566"/>
      <c r="D21" s="566">
        <v>0</v>
      </c>
      <c r="E21" s="566"/>
      <c r="F21" s="566">
        <v>0</v>
      </c>
      <c r="G21" s="566"/>
      <c r="H21" s="559">
        <f t="shared" si="2"/>
        <v>0</v>
      </c>
      <c r="I21" s="564"/>
      <c r="J21" s="199"/>
    </row>
    <row r="22" spans="1:17" s="254" customFormat="1" ht="36" customHeight="1" x14ac:dyDescent="0.25">
      <c r="A22" s="638" t="s">
        <v>153</v>
      </c>
      <c r="B22" s="717">
        <v>12562748</v>
      </c>
      <c r="C22" s="569">
        <v>12510000</v>
      </c>
      <c r="D22" s="570">
        <v>0</v>
      </c>
      <c r="E22" s="570"/>
      <c r="F22" s="570">
        <v>0</v>
      </c>
      <c r="G22" s="570"/>
      <c r="H22" s="571">
        <f t="shared" si="2"/>
        <v>12562748</v>
      </c>
      <c r="I22" s="572">
        <f t="shared" si="2"/>
        <v>12510000</v>
      </c>
      <c r="J22" s="253"/>
    </row>
    <row r="23" spans="1:17" s="254" customFormat="1" ht="46.5" customHeight="1" x14ac:dyDescent="0.25">
      <c r="A23" s="638" t="s">
        <v>154</v>
      </c>
      <c r="B23" s="320">
        <f>SUM(B24:B25)</f>
        <v>78990549</v>
      </c>
      <c r="C23" s="320">
        <f>SUM(C24:C25)</f>
        <v>77833000</v>
      </c>
      <c r="D23" s="320">
        <f>SUM(D24:D25)</f>
        <v>0</v>
      </c>
      <c r="E23" s="320">
        <f>SUM(E24:E25)</f>
        <v>0</v>
      </c>
      <c r="F23" s="320">
        <v>0</v>
      </c>
      <c r="G23" s="320">
        <f>SUM(G24:G25)</f>
        <v>0</v>
      </c>
      <c r="H23" s="305">
        <f t="shared" si="2"/>
        <v>78990549</v>
      </c>
      <c r="I23" s="573">
        <f t="shared" si="2"/>
        <v>77833000</v>
      </c>
      <c r="J23" s="253"/>
    </row>
    <row r="24" spans="1:17" s="254" customFormat="1" ht="67.5" customHeight="1" x14ac:dyDescent="0.25">
      <c r="A24" s="639" t="s">
        <v>155</v>
      </c>
      <c r="B24" s="718">
        <v>69403671</v>
      </c>
      <c r="C24" s="320">
        <v>68320000</v>
      </c>
      <c r="D24" s="567">
        <v>0</v>
      </c>
      <c r="E24" s="567"/>
      <c r="F24" s="567">
        <v>0</v>
      </c>
      <c r="G24" s="567"/>
      <c r="H24" s="305">
        <f t="shared" si="2"/>
        <v>69403671</v>
      </c>
      <c r="I24" s="573">
        <f t="shared" si="2"/>
        <v>68320000</v>
      </c>
      <c r="J24" s="253"/>
    </row>
    <row r="25" spans="1:17" s="84" customFormat="1" ht="24.75" customHeight="1" x14ac:dyDescent="0.25">
      <c r="A25" s="639" t="s">
        <v>156</v>
      </c>
      <c r="B25" s="719">
        <v>9586878</v>
      </c>
      <c r="C25" s="568">
        <v>9513000</v>
      </c>
      <c r="D25" s="326">
        <v>0</v>
      </c>
      <c r="E25" s="326"/>
      <c r="F25" s="326">
        <v>0</v>
      </c>
      <c r="G25" s="326"/>
      <c r="H25" s="305">
        <f t="shared" si="2"/>
        <v>9586878</v>
      </c>
      <c r="I25" s="573">
        <f t="shared" si="2"/>
        <v>9513000</v>
      </c>
      <c r="J25" s="144"/>
    </row>
    <row r="26" spans="1:17" s="254" customFormat="1" ht="44.25" thickBot="1" x14ac:dyDescent="0.3">
      <c r="A26" s="640" t="s">
        <v>589</v>
      </c>
      <c r="B26" s="720">
        <v>7084150</v>
      </c>
      <c r="C26" s="314">
        <v>7059000</v>
      </c>
      <c r="D26" s="315">
        <v>0</v>
      </c>
      <c r="E26" s="315"/>
      <c r="F26" s="321">
        <v>0</v>
      </c>
      <c r="G26" s="321"/>
      <c r="H26" s="316">
        <f t="shared" si="2"/>
        <v>7084150</v>
      </c>
      <c r="I26" s="557">
        <f t="shared" si="2"/>
        <v>7059000</v>
      </c>
      <c r="J26" s="253"/>
    </row>
    <row r="27" spans="1:17" s="84" customFormat="1" ht="38.25" customHeight="1" thickBot="1" x14ac:dyDescent="0.3">
      <c r="A27" s="636" t="s">
        <v>157</v>
      </c>
      <c r="B27" s="558">
        <v>93536938</v>
      </c>
      <c r="C27" s="559">
        <v>74911947</v>
      </c>
      <c r="D27" s="559">
        <v>314119</v>
      </c>
      <c r="E27" s="559">
        <v>276200</v>
      </c>
      <c r="F27" s="559">
        <v>713902</v>
      </c>
      <c r="G27" s="559">
        <v>688000</v>
      </c>
      <c r="H27" s="559">
        <f t="shared" si="2"/>
        <v>94564959</v>
      </c>
      <c r="I27" s="564">
        <f t="shared" si="2"/>
        <v>75876147</v>
      </c>
      <c r="J27" s="144"/>
    </row>
    <row r="28" spans="1:17" ht="32.25" customHeight="1" thickBot="1" x14ac:dyDescent="0.3">
      <c r="A28" s="306" t="s">
        <v>158</v>
      </c>
      <c r="B28" s="308">
        <v>53514945</v>
      </c>
      <c r="C28" s="309">
        <v>21112694</v>
      </c>
      <c r="D28" s="574">
        <v>9937</v>
      </c>
      <c r="E28" s="574">
        <f>SUM(E30:E31)</f>
        <v>0</v>
      </c>
      <c r="F28" s="574">
        <v>0</v>
      </c>
      <c r="G28" s="574">
        <f>SUM(G30:G31)</f>
        <v>0</v>
      </c>
      <c r="H28" s="309">
        <f t="shared" si="2"/>
        <v>53524882</v>
      </c>
      <c r="I28" s="562">
        <f t="shared" si="2"/>
        <v>21112694</v>
      </c>
      <c r="J28" s="283"/>
    </row>
    <row r="29" spans="1:17" ht="32.25" customHeight="1" thickBot="1" x14ac:dyDescent="0.3">
      <c r="A29" s="575" t="s">
        <v>176</v>
      </c>
      <c r="B29" s="309">
        <v>13653774</v>
      </c>
      <c r="C29" s="309">
        <v>17224731</v>
      </c>
      <c r="D29" s="574">
        <v>0</v>
      </c>
      <c r="E29" s="574"/>
      <c r="F29" s="574"/>
      <c r="G29" s="576"/>
      <c r="H29" s="309">
        <f t="shared" si="2"/>
        <v>13653774</v>
      </c>
      <c r="I29" s="562">
        <f t="shared" si="2"/>
        <v>17224731</v>
      </c>
      <c r="J29" s="283"/>
    </row>
    <row r="30" spans="1:17" s="84" customFormat="1" ht="48.75" customHeight="1" thickBot="1" x14ac:dyDescent="0.3">
      <c r="A30" s="575" t="s">
        <v>167</v>
      </c>
      <c r="B30" s="309">
        <v>0</v>
      </c>
      <c r="C30" s="309">
        <f t="shared" ref="C30:G30" si="5">SUM(C31:C32)</f>
        <v>0</v>
      </c>
      <c r="D30" s="309">
        <f t="shared" si="5"/>
        <v>0</v>
      </c>
      <c r="E30" s="309">
        <f t="shared" si="5"/>
        <v>0</v>
      </c>
      <c r="F30" s="309">
        <f t="shared" si="5"/>
        <v>0</v>
      </c>
      <c r="G30" s="309">
        <f t="shared" si="5"/>
        <v>0</v>
      </c>
      <c r="H30" s="309">
        <f t="shared" si="2"/>
        <v>0</v>
      </c>
      <c r="I30" s="562">
        <f t="shared" si="2"/>
        <v>0</v>
      </c>
      <c r="J30" s="144"/>
    </row>
    <row r="31" spans="1:17" s="84" customFormat="1" ht="63.75" customHeight="1" x14ac:dyDescent="0.25">
      <c r="A31" s="577" t="s">
        <v>369</v>
      </c>
      <c r="B31" s="310">
        <v>0</v>
      </c>
      <c r="C31" s="310"/>
      <c r="D31" s="311">
        <v>0</v>
      </c>
      <c r="E31" s="311"/>
      <c r="F31" s="311"/>
      <c r="G31" s="347"/>
      <c r="H31" s="561">
        <f t="shared" si="2"/>
        <v>0</v>
      </c>
      <c r="I31" s="561">
        <f t="shared" si="2"/>
        <v>0</v>
      </c>
      <c r="J31" s="144"/>
      <c r="Q31" s="549"/>
    </row>
    <row r="32" spans="1:17" s="84" customFormat="1" ht="48.75" customHeight="1" x14ac:dyDescent="0.25">
      <c r="A32" s="319" t="s">
        <v>370</v>
      </c>
      <c r="B32" s="312">
        <v>0</v>
      </c>
      <c r="C32" s="312"/>
      <c r="D32" s="313">
        <v>0</v>
      </c>
      <c r="E32" s="313"/>
      <c r="F32" s="313"/>
      <c r="G32" s="347"/>
      <c r="H32" s="305">
        <f t="shared" si="2"/>
        <v>0</v>
      </c>
      <c r="I32" s="561">
        <f t="shared" si="2"/>
        <v>0</v>
      </c>
      <c r="J32" s="144"/>
    </row>
    <row r="33" spans="1:10" s="94" customFormat="1" ht="40.5" customHeight="1" thickBot="1" x14ac:dyDescent="0.3">
      <c r="A33" s="323" t="s">
        <v>177</v>
      </c>
      <c r="B33" s="260">
        <f t="shared" ref="B33:G33" si="6">B7+B17+B20+B30+B29+B27+B28</f>
        <v>1642238926</v>
      </c>
      <c r="C33" s="260">
        <f t="shared" si="6"/>
        <v>2082171002</v>
      </c>
      <c r="D33" s="260">
        <f t="shared" si="6"/>
        <v>10029523</v>
      </c>
      <c r="E33" s="260">
        <f t="shared" si="6"/>
        <v>276200</v>
      </c>
      <c r="F33" s="260">
        <f t="shared" si="6"/>
        <v>713902</v>
      </c>
      <c r="G33" s="261">
        <f t="shared" si="6"/>
        <v>688000</v>
      </c>
      <c r="H33" s="305">
        <f t="shared" si="2"/>
        <v>1652982351</v>
      </c>
      <c r="I33" s="305">
        <f t="shared" si="2"/>
        <v>2083135202</v>
      </c>
      <c r="J33" s="511"/>
    </row>
    <row r="34" spans="1:10" s="94" customFormat="1" ht="21.75" customHeight="1" thickBot="1" x14ac:dyDescent="0.3">
      <c r="A34" s="869" t="s">
        <v>175</v>
      </c>
      <c r="B34" s="870"/>
      <c r="C34" s="870"/>
      <c r="D34" s="870"/>
      <c r="E34" s="870"/>
      <c r="F34" s="870"/>
      <c r="G34" s="870"/>
      <c r="H34" s="870"/>
      <c r="I34" s="871"/>
      <c r="J34" s="511"/>
    </row>
    <row r="35" spans="1:10" ht="46.5" customHeight="1" thickBot="1" x14ac:dyDescent="0.3">
      <c r="A35" s="324" t="s">
        <v>174</v>
      </c>
      <c r="B35" s="322">
        <f>B36</f>
        <v>1164274652</v>
      </c>
      <c r="C35" s="672">
        <f>C36</f>
        <v>210043092</v>
      </c>
      <c r="D35" s="322">
        <f t="shared" ref="D35:G35" si="7">D36+D44</f>
        <v>135692313</v>
      </c>
      <c r="E35" s="322">
        <f t="shared" si="7"/>
        <v>0</v>
      </c>
      <c r="F35" s="322">
        <f t="shared" si="7"/>
        <v>10438395</v>
      </c>
      <c r="G35" s="322">
        <f t="shared" si="7"/>
        <v>0</v>
      </c>
      <c r="H35" s="150">
        <f>H36</f>
        <v>1310405360</v>
      </c>
      <c r="I35" s="150">
        <f>I36</f>
        <v>210043092</v>
      </c>
      <c r="J35" s="283"/>
    </row>
    <row r="36" spans="1:10" s="112" customFormat="1" ht="33" customHeight="1" thickBot="1" x14ac:dyDescent="0.3">
      <c r="A36" s="591" t="s">
        <v>168</v>
      </c>
      <c r="B36" s="583">
        <f>B37+B40+B45+B44+B43</f>
        <v>1164274652</v>
      </c>
      <c r="C36" s="583">
        <f>C37+C40+C45+C44+C43</f>
        <v>210043092</v>
      </c>
      <c r="D36" s="325">
        <f t="shared" ref="D36:G36" si="8">D37+D40+D45+D43</f>
        <v>135692313</v>
      </c>
      <c r="E36" s="325">
        <f t="shared" si="8"/>
        <v>0</v>
      </c>
      <c r="F36" s="325">
        <f>F37+F40+F45+F43</f>
        <v>10438395</v>
      </c>
      <c r="G36" s="584">
        <f t="shared" si="8"/>
        <v>0</v>
      </c>
      <c r="H36" s="579">
        <f>D36+B36+F36</f>
        <v>1310405360</v>
      </c>
      <c r="I36" s="580">
        <f>E36+C36+G36</f>
        <v>210043092</v>
      </c>
      <c r="J36" s="257"/>
    </row>
    <row r="37" spans="1:10" ht="33" customHeight="1" thickBot="1" x14ac:dyDescent="0.3">
      <c r="A37" s="332" t="s">
        <v>169</v>
      </c>
      <c r="B37" s="590">
        <f t="shared" ref="B37:G37" si="9">SUM(B38:B39)</f>
        <v>48633958</v>
      </c>
      <c r="C37" s="590">
        <f t="shared" si="9"/>
        <v>56729897</v>
      </c>
      <c r="D37" s="326">
        <f t="shared" si="9"/>
        <v>0</v>
      </c>
      <c r="E37" s="326">
        <f t="shared" si="9"/>
        <v>0</v>
      </c>
      <c r="F37" s="326">
        <f t="shared" si="9"/>
        <v>0</v>
      </c>
      <c r="G37" s="586">
        <f t="shared" si="9"/>
        <v>0</v>
      </c>
      <c r="H37" s="578">
        <f t="shared" ref="H37:I45" si="10">D37+B37+F37</f>
        <v>48633958</v>
      </c>
      <c r="I37" s="859">
        <f t="shared" si="10"/>
        <v>56729897</v>
      </c>
      <c r="J37" s="641"/>
    </row>
    <row r="38" spans="1:10" ht="33" customHeight="1" thickBot="1" x14ac:dyDescent="0.3">
      <c r="A38" s="592" t="s">
        <v>302</v>
      </c>
      <c r="B38" s="585">
        <v>48633958</v>
      </c>
      <c r="C38" s="326">
        <v>56729897</v>
      </c>
      <c r="D38" s="326">
        <v>0</v>
      </c>
      <c r="E38" s="326"/>
      <c r="F38" s="327">
        <v>0</v>
      </c>
      <c r="G38" s="587"/>
      <c r="H38" s="578">
        <f t="shared" si="10"/>
        <v>48633958</v>
      </c>
      <c r="I38" s="859">
        <f t="shared" si="10"/>
        <v>56729897</v>
      </c>
      <c r="J38" s="283"/>
    </row>
    <row r="39" spans="1:10" ht="33" customHeight="1" thickBot="1" x14ac:dyDescent="0.3">
      <c r="A39" s="581" t="s">
        <v>304</v>
      </c>
      <c r="B39" s="585">
        <v>0</v>
      </c>
      <c r="C39" s="326"/>
      <c r="D39" s="326">
        <v>0</v>
      </c>
      <c r="E39" s="326"/>
      <c r="F39" s="327">
        <v>0</v>
      </c>
      <c r="G39" s="587"/>
      <c r="H39" s="578">
        <f t="shared" si="10"/>
        <v>0</v>
      </c>
      <c r="I39" s="252">
        <f t="shared" si="10"/>
        <v>0</v>
      </c>
      <c r="J39" s="283"/>
    </row>
    <row r="40" spans="1:10" s="112" customFormat="1" ht="33" customHeight="1" thickBot="1" x14ac:dyDescent="0.3">
      <c r="A40" s="582" t="s">
        <v>170</v>
      </c>
      <c r="B40" s="567">
        <v>1052470843</v>
      </c>
      <c r="C40" s="567">
        <f>SUM(C41:C42)</f>
        <v>153313195</v>
      </c>
      <c r="D40" s="567">
        <f>SUM(D41:D42)+D44</f>
        <v>0</v>
      </c>
      <c r="E40" s="567">
        <f>SUM(E41:E42)+E44</f>
        <v>0</v>
      </c>
      <c r="F40" s="567">
        <v>11259</v>
      </c>
      <c r="G40" s="567">
        <f>SUM(G41:G42)+G44</f>
        <v>0</v>
      </c>
      <c r="H40" s="578">
        <f>D40+B40+F40</f>
        <v>1052482102</v>
      </c>
      <c r="I40" s="252">
        <f>E40+C40+G40</f>
        <v>153313195</v>
      </c>
      <c r="J40" s="257"/>
    </row>
    <row r="41" spans="1:10" s="258" customFormat="1" ht="33" customHeight="1" thickBot="1" x14ac:dyDescent="0.3">
      <c r="A41" s="581" t="s">
        <v>172</v>
      </c>
      <c r="B41" s="662"/>
      <c r="C41" s="326">
        <v>101144895</v>
      </c>
      <c r="D41" s="664"/>
      <c r="E41" s="329"/>
      <c r="F41" s="330">
        <v>0</v>
      </c>
      <c r="G41" s="588"/>
      <c r="H41" s="578">
        <f t="shared" si="10"/>
        <v>0</v>
      </c>
      <c r="I41" s="252">
        <f t="shared" si="10"/>
        <v>101144895</v>
      </c>
      <c r="J41" s="512"/>
    </row>
    <row r="42" spans="1:10" ht="36.75" customHeight="1" thickBot="1" x14ac:dyDescent="0.3">
      <c r="A42" s="581" t="s">
        <v>171</v>
      </c>
      <c r="B42" s="663"/>
      <c r="C42" s="328">
        <v>52168300</v>
      </c>
      <c r="D42" s="665"/>
      <c r="E42" s="328"/>
      <c r="F42" s="331">
        <v>0</v>
      </c>
      <c r="G42" s="589"/>
      <c r="H42" s="578">
        <f>D42+B42+F42</f>
        <v>0</v>
      </c>
      <c r="I42" s="150">
        <f t="shared" si="10"/>
        <v>52168300</v>
      </c>
      <c r="J42" s="641"/>
    </row>
    <row r="43" spans="1:10" s="112" customFormat="1" ht="36.75" customHeight="1" thickBot="1" x14ac:dyDescent="0.3">
      <c r="A43" s="394" t="s">
        <v>305</v>
      </c>
      <c r="B43" s="392">
        <v>0</v>
      </c>
      <c r="C43" s="393"/>
      <c r="D43" s="392">
        <v>0</v>
      </c>
      <c r="E43" s="393"/>
      <c r="F43" s="390">
        <v>0</v>
      </c>
      <c r="G43" s="391"/>
      <c r="H43" s="150">
        <f>D43+B43+F43</f>
        <v>0</v>
      </c>
      <c r="I43" s="150">
        <f t="shared" si="10"/>
        <v>0</v>
      </c>
      <c r="J43" s="257"/>
    </row>
    <row r="44" spans="1:10" s="112" customFormat="1" ht="36.75" customHeight="1" thickBot="1" x14ac:dyDescent="0.3">
      <c r="A44" s="450" t="s">
        <v>346</v>
      </c>
      <c r="B44" s="451">
        <v>63169851</v>
      </c>
      <c r="C44" s="393"/>
      <c r="D44" s="392">
        <v>0</v>
      </c>
      <c r="E44" s="393"/>
      <c r="F44" s="390">
        <v>0</v>
      </c>
      <c r="G44" s="391"/>
      <c r="H44" s="150">
        <f>D44+B44+F44</f>
        <v>63169851</v>
      </c>
      <c r="I44" s="150">
        <f>E44+C44+G44</f>
        <v>0</v>
      </c>
      <c r="J44" s="257"/>
    </row>
    <row r="45" spans="1:10" ht="33" customHeight="1" thickBot="1" x14ac:dyDescent="0.3">
      <c r="A45" s="332" t="s">
        <v>173</v>
      </c>
      <c r="B45" s="333">
        <v>0</v>
      </c>
      <c r="C45" s="334"/>
      <c r="D45" s="333">
        <v>135692313</v>
      </c>
      <c r="E45" s="334"/>
      <c r="F45" s="335">
        <v>10427136</v>
      </c>
      <c r="G45" s="336"/>
      <c r="H45" s="150">
        <f t="shared" si="10"/>
        <v>146119449</v>
      </c>
      <c r="I45" s="150">
        <f t="shared" si="10"/>
        <v>0</v>
      </c>
      <c r="J45" s="283"/>
    </row>
    <row r="46" spans="1:10" x14ac:dyDescent="0.2">
      <c r="H46" s="151"/>
    </row>
    <row r="47" spans="1:10" x14ac:dyDescent="0.2">
      <c r="I47" s="153"/>
    </row>
    <row r="48" spans="1:10" x14ac:dyDescent="0.2">
      <c r="B48" s="151"/>
      <c r="C48" s="151"/>
      <c r="I48" s="153"/>
    </row>
    <row r="49" spans="3:9" ht="12.75" x14ac:dyDescent="0.2">
      <c r="C49" s="151"/>
      <c r="D49" s="151"/>
      <c r="E49" s="151"/>
      <c r="F49" s="151"/>
      <c r="G49" s="151"/>
      <c r="H49" s="151"/>
      <c r="I49" s="151"/>
    </row>
    <row r="50" spans="3:9" x14ac:dyDescent="0.2">
      <c r="C50" s="151"/>
    </row>
  </sheetData>
  <mergeCells count="12">
    <mergeCell ref="A1:I1"/>
    <mergeCell ref="H5:H6"/>
    <mergeCell ref="I5:I6"/>
    <mergeCell ref="A34:I34"/>
    <mergeCell ref="H4:I4"/>
    <mergeCell ref="A5:A6"/>
    <mergeCell ref="B5:B6"/>
    <mergeCell ref="C5:C6"/>
    <mergeCell ref="D5:D6"/>
    <mergeCell ref="E5:E6"/>
    <mergeCell ref="F5:F6"/>
    <mergeCell ref="G5:G6"/>
  </mergeCells>
  <phoneticPr fontId="39" type="noConversion"/>
  <pageMargins left="0.98425196850393704" right="0.19685039370078741" top="0.48697916666666669" bottom="0.39370078740157483" header="0.51181102362204722" footer="0.51181102362204722"/>
  <pageSetup paperSize="9" scale="55" orientation="portrait" r:id="rId1"/>
  <headerFooter alignWithMargins="0">
    <oddHeader>&amp;R2.sz. melléklet
..../2020.(.....)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S39"/>
  <sheetViews>
    <sheetView topLeftCell="A10" zoomScaleNormal="100" workbookViewId="0">
      <selection activeCell="C14" sqref="C14"/>
    </sheetView>
  </sheetViews>
  <sheetFormatPr defaultRowHeight="12.75" x14ac:dyDescent="0.2"/>
  <cols>
    <col min="1" max="1" width="40.7109375" customWidth="1"/>
    <col min="2" max="2" width="15.7109375" customWidth="1"/>
    <col min="3" max="3" width="20.140625" customWidth="1"/>
    <col min="4" max="4" width="16.7109375" customWidth="1"/>
    <col min="5" max="5" width="14.7109375" customWidth="1"/>
    <col min="6" max="6" width="15.5703125" customWidth="1"/>
    <col min="7" max="7" width="14.7109375" customWidth="1"/>
    <col min="8" max="8" width="18.7109375" customWidth="1"/>
    <col min="9" max="9" width="17.85546875" customWidth="1"/>
    <col min="10" max="10" width="11.7109375" customWidth="1"/>
    <col min="11" max="11" width="14.85546875" customWidth="1"/>
  </cols>
  <sheetData>
    <row r="2" spans="1:19" ht="26.25" customHeight="1" x14ac:dyDescent="0.25">
      <c r="A2" s="922" t="s">
        <v>508</v>
      </c>
      <c r="B2" s="922"/>
      <c r="C2" s="922"/>
      <c r="D2" s="922"/>
      <c r="E2" s="922"/>
      <c r="F2" s="922"/>
      <c r="G2" s="922"/>
      <c r="H2" s="922"/>
      <c r="I2" s="922"/>
      <c r="J2" s="247"/>
      <c r="K2" s="247"/>
      <c r="L2" s="25"/>
      <c r="M2" s="25"/>
      <c r="N2" s="25"/>
      <c r="O2" s="25"/>
      <c r="P2" s="25"/>
      <c r="Q2" s="25"/>
      <c r="R2" s="25"/>
      <c r="S2" s="25"/>
    </row>
    <row r="3" spans="1:19" ht="15.75" x14ac:dyDescent="0.25">
      <c r="A3" s="247"/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5"/>
      <c r="M3" s="25"/>
      <c r="N3" s="25"/>
      <c r="O3" s="25"/>
      <c r="P3" s="25"/>
      <c r="Q3" s="25"/>
      <c r="R3" s="25"/>
      <c r="S3" s="25"/>
    </row>
    <row r="4" spans="1:19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5"/>
      <c r="M4" s="25"/>
      <c r="N4" s="25"/>
      <c r="O4" s="25"/>
      <c r="P4" s="25"/>
      <c r="Q4" s="25"/>
      <c r="R4" s="25"/>
      <c r="S4" s="25"/>
    </row>
    <row r="5" spans="1:19" ht="16.5" thickBot="1" x14ac:dyDescent="0.3">
      <c r="A5" s="25"/>
      <c r="B5" s="25"/>
      <c r="C5" s="25"/>
      <c r="D5" s="25"/>
      <c r="E5" s="25"/>
      <c r="F5" s="25"/>
      <c r="G5" s="25"/>
      <c r="H5" s="30"/>
      <c r="I5" s="642" t="s">
        <v>409</v>
      </c>
      <c r="J5" s="30"/>
      <c r="K5" s="30"/>
      <c r="L5" s="25"/>
      <c r="M5" s="25"/>
      <c r="N5" s="25"/>
      <c r="O5" s="25"/>
      <c r="P5" s="25"/>
      <c r="Q5" s="25"/>
      <c r="R5" s="25"/>
      <c r="S5" s="25"/>
    </row>
    <row r="6" spans="1:19" ht="16.5" thickBot="1" x14ac:dyDescent="0.3">
      <c r="A6" s="29"/>
      <c r="B6" s="141"/>
      <c r="C6" s="141"/>
      <c r="D6" s="923" t="s">
        <v>101</v>
      </c>
      <c r="E6" s="924"/>
      <c r="F6" s="924"/>
      <c r="G6" s="924"/>
      <c r="H6" s="924"/>
      <c r="I6" s="925"/>
      <c r="J6" s="87"/>
      <c r="K6" s="87"/>
      <c r="L6" s="25"/>
      <c r="M6" s="25"/>
      <c r="N6" s="25"/>
      <c r="O6" s="25"/>
      <c r="P6" s="25"/>
      <c r="Q6" s="25"/>
      <c r="R6" s="25"/>
      <c r="S6" s="25"/>
    </row>
    <row r="7" spans="1:19" ht="12.75" customHeight="1" x14ac:dyDescent="0.2">
      <c r="A7" s="926" t="s">
        <v>199</v>
      </c>
      <c r="B7" s="920" t="s">
        <v>502</v>
      </c>
      <c r="C7" s="918" t="s">
        <v>505</v>
      </c>
      <c r="D7" s="920" t="s">
        <v>503</v>
      </c>
      <c r="E7" s="918" t="s">
        <v>506</v>
      </c>
      <c r="F7" s="920" t="s">
        <v>504</v>
      </c>
      <c r="G7" s="920" t="s">
        <v>507</v>
      </c>
      <c r="H7" s="920" t="s">
        <v>502</v>
      </c>
      <c r="I7" s="918" t="s">
        <v>505</v>
      </c>
      <c r="J7" s="24"/>
    </row>
    <row r="8" spans="1:19" ht="43.5" customHeight="1" thickBot="1" x14ac:dyDescent="0.25">
      <c r="A8" s="927"/>
      <c r="B8" s="921"/>
      <c r="C8" s="919"/>
      <c r="D8" s="921"/>
      <c r="E8" s="919"/>
      <c r="F8" s="921"/>
      <c r="G8" s="921"/>
      <c r="H8" s="921"/>
      <c r="I8" s="919"/>
      <c r="J8" s="128"/>
    </row>
    <row r="9" spans="1:19" ht="21" customHeight="1" thickBot="1" x14ac:dyDescent="0.25">
      <c r="A9" s="85" t="s">
        <v>200</v>
      </c>
      <c r="B9" s="464">
        <v>365595885</v>
      </c>
      <c r="C9" s="179">
        <v>105943566</v>
      </c>
      <c r="D9" s="464">
        <v>103344196</v>
      </c>
      <c r="E9" s="179">
        <v>97424173</v>
      </c>
      <c r="F9" s="465">
        <v>5444385</v>
      </c>
      <c r="G9" s="466">
        <v>6834740</v>
      </c>
      <c r="H9" s="174">
        <f>B9+D9+F9</f>
        <v>474384466</v>
      </c>
      <c r="I9" s="174">
        <f>G9+E9+C9</f>
        <v>210202479</v>
      </c>
      <c r="J9" s="128"/>
      <c r="K9" s="127"/>
    </row>
    <row r="10" spans="1:19" ht="33" customHeight="1" thickBot="1" x14ac:dyDescent="0.25">
      <c r="A10" s="172" t="s">
        <v>201</v>
      </c>
      <c r="B10" s="464">
        <v>40180183</v>
      </c>
      <c r="C10" s="179">
        <v>13474412</v>
      </c>
      <c r="D10" s="464">
        <v>19710139</v>
      </c>
      <c r="E10" s="179">
        <v>17906100</v>
      </c>
      <c r="F10" s="465">
        <v>1007962</v>
      </c>
      <c r="G10" s="466">
        <v>1187100</v>
      </c>
      <c r="H10" s="174">
        <f t="shared" ref="H10:H17" si="0">B10+D10+F10</f>
        <v>60898284</v>
      </c>
      <c r="I10" s="174">
        <f t="shared" ref="I10:I17" si="1">G10+E10+C10</f>
        <v>32567612</v>
      </c>
      <c r="J10" s="128"/>
      <c r="K10" s="127"/>
    </row>
    <row r="11" spans="1:19" ht="21" customHeight="1" thickBot="1" x14ac:dyDescent="0.25">
      <c r="A11" s="85" t="s">
        <v>202</v>
      </c>
      <c r="B11" s="464">
        <v>402334760</v>
      </c>
      <c r="C11" s="179">
        <v>385152141</v>
      </c>
      <c r="D11" s="464">
        <v>16568483</v>
      </c>
      <c r="E11" s="179">
        <v>18965000</v>
      </c>
      <c r="F11" s="465">
        <v>4129755</v>
      </c>
      <c r="G11" s="466">
        <v>4711500</v>
      </c>
      <c r="H11" s="174">
        <f t="shared" si="0"/>
        <v>423032998</v>
      </c>
      <c r="I11" s="174">
        <f t="shared" si="1"/>
        <v>408828641</v>
      </c>
      <c r="J11" s="128"/>
      <c r="K11" s="127"/>
    </row>
    <row r="12" spans="1:19" ht="21" customHeight="1" thickBot="1" x14ac:dyDescent="0.25">
      <c r="A12" s="86" t="s">
        <v>203</v>
      </c>
      <c r="B12" s="464">
        <v>9507143</v>
      </c>
      <c r="C12" s="180">
        <v>14005000</v>
      </c>
      <c r="D12" s="464"/>
      <c r="E12" s="180"/>
      <c r="F12" s="465"/>
      <c r="G12" s="466"/>
      <c r="H12" s="174">
        <f t="shared" si="0"/>
        <v>9507143</v>
      </c>
      <c r="I12" s="174">
        <f t="shared" si="1"/>
        <v>14005000</v>
      </c>
      <c r="J12" s="128"/>
      <c r="K12" s="127"/>
    </row>
    <row r="13" spans="1:19" ht="35.25" customHeight="1" thickBot="1" x14ac:dyDescent="0.25">
      <c r="A13" s="210" t="s">
        <v>392</v>
      </c>
      <c r="B13" s="464">
        <v>103463523</v>
      </c>
      <c r="C13" s="250">
        <v>145707092</v>
      </c>
      <c r="D13" s="464">
        <v>5024165</v>
      </c>
      <c r="E13" s="180"/>
      <c r="F13" s="465">
        <v>447255</v>
      </c>
      <c r="G13" s="466"/>
      <c r="H13" s="174">
        <f t="shared" si="0"/>
        <v>108934943</v>
      </c>
      <c r="I13" s="174">
        <f t="shared" si="1"/>
        <v>145707092</v>
      </c>
      <c r="J13" s="128"/>
      <c r="K13" s="127"/>
    </row>
    <row r="14" spans="1:19" ht="35.25" customHeight="1" thickBot="1" x14ac:dyDescent="0.25">
      <c r="A14" s="210" t="s">
        <v>393</v>
      </c>
      <c r="B14" s="464"/>
      <c r="C14" s="250">
        <v>10000000</v>
      </c>
      <c r="D14" s="464"/>
      <c r="E14" s="180"/>
      <c r="F14" s="465"/>
      <c r="G14" s="466"/>
      <c r="H14" s="174">
        <f t="shared" si="0"/>
        <v>0</v>
      </c>
      <c r="I14" s="174">
        <f t="shared" si="1"/>
        <v>10000000</v>
      </c>
      <c r="J14" s="128"/>
      <c r="K14" s="127"/>
    </row>
    <row r="15" spans="1:19" ht="35.25" customHeight="1" thickBot="1" x14ac:dyDescent="0.25">
      <c r="A15" s="172" t="s">
        <v>209</v>
      </c>
      <c r="B15" s="251">
        <f>B16+B17</f>
        <v>209064070</v>
      </c>
      <c r="C15" s="251">
        <v>10353836</v>
      </c>
      <c r="D15" s="251">
        <f t="shared" ref="D15:G15" si="2">SUM(D16:D17)</f>
        <v>0</v>
      </c>
      <c r="E15" s="251">
        <f t="shared" si="2"/>
        <v>0</v>
      </c>
      <c r="F15" s="251">
        <f t="shared" si="2"/>
        <v>0</v>
      </c>
      <c r="G15" s="251">
        <f t="shared" si="2"/>
        <v>0</v>
      </c>
      <c r="H15" s="174">
        <f t="shared" si="0"/>
        <v>209064070</v>
      </c>
      <c r="I15" s="174">
        <f t="shared" si="1"/>
        <v>10353836</v>
      </c>
      <c r="J15" s="128"/>
      <c r="K15" s="127"/>
    </row>
    <row r="16" spans="1:19" ht="35.25" customHeight="1" thickBot="1" x14ac:dyDescent="0.25">
      <c r="A16" s="210" t="s">
        <v>396</v>
      </c>
      <c r="B16" s="467">
        <v>62944621</v>
      </c>
      <c r="C16" s="250">
        <v>10353836</v>
      </c>
      <c r="D16" s="467"/>
      <c r="E16" s="180"/>
      <c r="F16" s="468"/>
      <c r="G16" s="469"/>
      <c r="H16" s="174">
        <f t="shared" si="0"/>
        <v>62944621</v>
      </c>
      <c r="I16" s="174">
        <f t="shared" si="1"/>
        <v>10353836</v>
      </c>
      <c r="J16" s="128"/>
      <c r="K16" s="127"/>
    </row>
    <row r="17" spans="1:12" ht="31.5" customHeight="1" thickBot="1" x14ac:dyDescent="0.25">
      <c r="A17" s="210" t="s">
        <v>598</v>
      </c>
      <c r="B17" s="467">
        <v>146119449</v>
      </c>
      <c r="C17" s="180"/>
      <c r="D17" s="467"/>
      <c r="E17" s="180"/>
      <c r="F17" s="468"/>
      <c r="G17" s="469"/>
      <c r="H17" s="174">
        <f t="shared" si="0"/>
        <v>146119449</v>
      </c>
      <c r="I17" s="174">
        <f t="shared" si="1"/>
        <v>0</v>
      </c>
      <c r="J17" s="128"/>
      <c r="K17" s="127"/>
    </row>
    <row r="18" spans="1:12" ht="21" customHeight="1" thickBot="1" x14ac:dyDescent="0.25">
      <c r="A18" s="23" t="s">
        <v>49</v>
      </c>
      <c r="B18" s="174">
        <f>B9+B10+B11+B12+B13+B15</f>
        <v>1130145564</v>
      </c>
      <c r="C18" s="174">
        <f>C9+C10+C11+C12+C13+C15</f>
        <v>674636047</v>
      </c>
      <c r="D18" s="174">
        <f>SUM(D9:D15)</f>
        <v>144646983</v>
      </c>
      <c r="E18" s="174">
        <f>SUM(E9:E15)</f>
        <v>134295273</v>
      </c>
      <c r="F18" s="174">
        <f>SUM(F9:F15)</f>
        <v>11029357</v>
      </c>
      <c r="G18" s="174">
        <f>SUM(G9:G17)</f>
        <v>12733340</v>
      </c>
      <c r="H18" s="174">
        <f>SUM(H9:H15)</f>
        <v>1285821904</v>
      </c>
      <c r="I18" s="174">
        <f>SUM(I9:I15)-I14</f>
        <v>821664660</v>
      </c>
      <c r="J18" s="128"/>
      <c r="K18" s="127"/>
    </row>
    <row r="19" spans="1:12" ht="21" customHeight="1" thickBot="1" x14ac:dyDescent="0.25">
      <c r="A19" s="26"/>
      <c r="B19" s="182"/>
      <c r="C19" s="183"/>
      <c r="D19" s="182"/>
      <c r="E19" s="183"/>
      <c r="F19" s="182"/>
      <c r="G19" s="182"/>
      <c r="H19" s="184"/>
      <c r="I19" s="184"/>
      <c r="J19" s="24"/>
      <c r="K19" s="127"/>
    </row>
    <row r="20" spans="1:12" s="283" customFormat="1" ht="21" customHeight="1" thickBot="1" x14ac:dyDescent="0.25">
      <c r="A20" s="282" t="s">
        <v>204</v>
      </c>
      <c r="B20" s="273">
        <v>842300249</v>
      </c>
      <c r="C20" s="273">
        <v>1430695093</v>
      </c>
      <c r="D20" s="273">
        <v>1092950</v>
      </c>
      <c r="E20" s="273">
        <v>2602000</v>
      </c>
      <c r="F20" s="273">
        <v>24960</v>
      </c>
      <c r="G20" s="273">
        <v>38100</v>
      </c>
      <c r="H20" s="285">
        <f>B20+D20+F20</f>
        <v>843418159</v>
      </c>
      <c r="I20" s="285">
        <f>G20+E20+C20</f>
        <v>1433335193</v>
      </c>
      <c r="J20" s="128"/>
    </row>
    <row r="21" spans="1:12" s="283" customFormat="1" ht="21" customHeight="1" thickBot="1" x14ac:dyDescent="0.25">
      <c r="A21" s="282" t="s">
        <v>205</v>
      </c>
      <c r="B21" s="273">
        <v>39441130</v>
      </c>
      <c r="C21" s="273">
        <v>17903476</v>
      </c>
      <c r="D21" s="273"/>
      <c r="E21" s="273"/>
      <c r="F21" s="273"/>
      <c r="G21" s="273"/>
      <c r="H21" s="285">
        <f>B21+D21+F21</f>
        <v>39441130</v>
      </c>
      <c r="I21" s="285">
        <f t="shared" ref="I21:I26" si="3">G21+E21+C21</f>
        <v>17903476</v>
      </c>
      <c r="J21" s="128"/>
    </row>
    <row r="22" spans="1:12" s="283" customFormat="1" ht="21" customHeight="1" thickBot="1" x14ac:dyDescent="0.25">
      <c r="A22" s="282" t="s">
        <v>206</v>
      </c>
      <c r="B22" s="273">
        <v>1207165</v>
      </c>
      <c r="C22" s="273"/>
      <c r="D22" s="273"/>
      <c r="E22" s="273"/>
      <c r="F22" s="273"/>
      <c r="G22" s="273"/>
      <c r="H22" s="285">
        <f>B22+D22+F22</f>
        <v>1207165</v>
      </c>
      <c r="I22" s="285">
        <f t="shared" si="3"/>
        <v>0</v>
      </c>
      <c r="J22" s="128"/>
    </row>
    <row r="23" spans="1:12" s="283" customFormat="1" ht="42" customHeight="1" thickBot="1" x14ac:dyDescent="0.25">
      <c r="A23" s="284" t="s">
        <v>210</v>
      </c>
      <c r="B23" s="273">
        <v>10449365</v>
      </c>
      <c r="C23" s="273">
        <v>15274965</v>
      </c>
      <c r="D23" s="273"/>
      <c r="E23" s="273"/>
      <c r="F23" s="273"/>
      <c r="G23" s="273"/>
      <c r="H23" s="285">
        <f>B23+D23+F23</f>
        <v>10449365</v>
      </c>
      <c r="I23" s="285">
        <f t="shared" si="3"/>
        <v>15274965</v>
      </c>
      <c r="J23" s="128"/>
    </row>
    <row r="24" spans="1:12" ht="21" customHeight="1" thickBot="1" x14ac:dyDescent="0.25">
      <c r="A24" s="23" t="s">
        <v>207</v>
      </c>
      <c r="B24" s="174">
        <f t="shared" ref="B24:G24" si="4">SUM(B20:B23)</f>
        <v>893397909</v>
      </c>
      <c r="C24" s="174">
        <f t="shared" si="4"/>
        <v>1463873534</v>
      </c>
      <c r="D24" s="174">
        <f t="shared" si="4"/>
        <v>1092950</v>
      </c>
      <c r="E24" s="174">
        <f t="shared" si="4"/>
        <v>2602000</v>
      </c>
      <c r="F24" s="174">
        <f t="shared" si="4"/>
        <v>24960</v>
      </c>
      <c r="G24" s="174">
        <f t="shared" si="4"/>
        <v>38100</v>
      </c>
      <c r="H24" s="174">
        <f>B24+D24+F24</f>
        <v>894515819</v>
      </c>
      <c r="I24" s="285">
        <f t="shared" si="3"/>
        <v>1466513634</v>
      </c>
      <c r="J24" s="128"/>
      <c r="K24" s="127"/>
    </row>
    <row r="25" spans="1:12" ht="21" customHeight="1" thickBot="1" x14ac:dyDescent="0.25">
      <c r="A25" s="26"/>
      <c r="B25" s="182"/>
      <c r="C25" s="183"/>
      <c r="D25" s="182"/>
      <c r="E25" s="183"/>
      <c r="F25" s="182"/>
      <c r="G25" s="182"/>
      <c r="H25" s="174"/>
      <c r="I25" s="286"/>
      <c r="J25" s="24"/>
    </row>
    <row r="26" spans="1:12" ht="21" customHeight="1" thickBot="1" x14ac:dyDescent="0.25">
      <c r="A26" s="23" t="s">
        <v>394</v>
      </c>
      <c r="B26" s="142"/>
      <c r="C26" s="185">
        <v>5000000</v>
      </c>
      <c r="D26" s="142"/>
      <c r="E26" s="185"/>
      <c r="F26" s="142"/>
      <c r="G26" s="142"/>
      <c r="H26" s="174">
        <f>B26+D26+F26</f>
        <v>0</v>
      </c>
      <c r="I26" s="285">
        <f t="shared" si="3"/>
        <v>5000000</v>
      </c>
      <c r="J26" s="24"/>
      <c r="K26" s="127"/>
    </row>
    <row r="27" spans="1:12" ht="21" customHeight="1" thickBot="1" x14ac:dyDescent="0.25">
      <c r="A27" s="26"/>
      <c r="B27" s="186"/>
      <c r="C27" s="186"/>
      <c r="D27" s="182"/>
      <c r="E27" s="183"/>
      <c r="F27" s="182"/>
      <c r="G27" s="182"/>
      <c r="H27" s="184"/>
      <c r="I27" s="286"/>
      <c r="J27" s="24"/>
    </row>
    <row r="28" spans="1:12" ht="21" customHeight="1" thickBot="1" x14ac:dyDescent="0.25">
      <c r="A28" s="23" t="s">
        <v>50</v>
      </c>
      <c r="B28" s="174">
        <f t="shared" ref="B28:H28" si="5">B18+B24+B26</f>
        <v>2023543473</v>
      </c>
      <c r="C28" s="174">
        <f>C18+C24+C26</f>
        <v>2143509581</v>
      </c>
      <c r="D28" s="174">
        <f>D18+D24+D26</f>
        <v>145739933</v>
      </c>
      <c r="E28" s="174">
        <f t="shared" si="5"/>
        <v>136897273</v>
      </c>
      <c r="F28" s="174">
        <f>F18+F24+F26</f>
        <v>11054317</v>
      </c>
      <c r="G28" s="174">
        <f t="shared" si="5"/>
        <v>12771440</v>
      </c>
      <c r="H28" s="174">
        <f t="shared" si="5"/>
        <v>2180337723</v>
      </c>
      <c r="I28" s="285">
        <f>G28+E28+C28</f>
        <v>2293178294</v>
      </c>
      <c r="J28" s="24"/>
      <c r="K28" s="127"/>
    </row>
    <row r="29" spans="1:12" ht="21" customHeight="1" x14ac:dyDescent="0.2">
      <c r="A29" s="27"/>
      <c r="B29" s="187"/>
      <c r="C29" s="187"/>
      <c r="D29" s="187"/>
      <c r="E29" s="188"/>
      <c r="F29" s="187"/>
      <c r="G29" s="187"/>
      <c r="H29" s="187"/>
      <c r="I29" s="423"/>
      <c r="J29" s="24"/>
    </row>
    <row r="30" spans="1:12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  <row r="31" spans="1:12" ht="16.5" customHeight="1" x14ac:dyDescent="0.2">
      <c r="A31" s="88"/>
      <c r="B31" s="88"/>
      <c r="C31" s="806"/>
      <c r="D31" s="88"/>
      <c r="E31" s="88"/>
      <c r="F31" s="88"/>
      <c r="G31" s="88"/>
      <c r="H31" s="88"/>
      <c r="I31" s="89"/>
      <c r="J31" s="24"/>
    </row>
    <row r="32" spans="1:12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</row>
    <row r="33" spans="1:12" x14ac:dyDescent="0.2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</row>
    <row r="34" spans="1:12" x14ac:dyDescent="0.2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1:12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</row>
    <row r="36" spans="1:12" x14ac:dyDescent="0.2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spans="1:12" x14ac:dyDescent="0.2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spans="1:12" x14ac:dyDescent="0.2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</row>
    <row r="39" spans="1:12" x14ac:dyDescent="0.2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</sheetData>
  <mergeCells count="11">
    <mergeCell ref="I7:I8"/>
    <mergeCell ref="D7:D8"/>
    <mergeCell ref="B7:B8"/>
    <mergeCell ref="A2:I2"/>
    <mergeCell ref="C7:C8"/>
    <mergeCell ref="F7:F8"/>
    <mergeCell ref="G7:G8"/>
    <mergeCell ref="D6:I6"/>
    <mergeCell ref="H7:H8"/>
    <mergeCell ref="A7:A8"/>
    <mergeCell ref="E7:E8"/>
  </mergeCells>
  <phoneticPr fontId="4" type="noConversion"/>
  <pageMargins left="0.19685039370078741" right="0.19685039370078741" top="0.34937499999999999" bottom="0.39370078740157483" header="0.51181102362204722" footer="0.51181102362204722"/>
  <pageSetup paperSize="9" scale="78" orientation="landscape" r:id="rId1"/>
  <headerFooter alignWithMargins="0">
    <oddHeader>&amp;R3.sz. melléklet
..../2020.(....) Egyek Önk.</oddHeader>
  </headerFooter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6"/>
  <sheetViews>
    <sheetView topLeftCell="A13" zoomScaleNormal="100" zoomScaleSheetLayoutView="100" workbookViewId="0">
      <selection activeCell="G7" sqref="G7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928" t="s">
        <v>513</v>
      </c>
      <c r="B2" s="929"/>
      <c r="C2" s="929"/>
      <c r="D2" s="929"/>
      <c r="E2" s="929"/>
      <c r="F2" s="929"/>
      <c r="G2" s="929"/>
      <c r="H2" s="929"/>
      <c r="I2" s="930"/>
      <c r="J2" s="930"/>
      <c r="K2" s="930"/>
      <c r="L2" s="930"/>
    </row>
    <row r="3" spans="1:12" ht="13.5" thickBot="1" x14ac:dyDescent="0.25">
      <c r="L3" s="246"/>
    </row>
    <row r="4" spans="1:12" ht="102" customHeight="1" thickBot="1" x14ac:dyDescent="0.25">
      <c r="A4" s="879" t="s">
        <v>180</v>
      </c>
      <c r="B4" s="156" t="s">
        <v>200</v>
      </c>
      <c r="C4" s="156" t="s">
        <v>211</v>
      </c>
      <c r="D4" s="156" t="s">
        <v>202</v>
      </c>
      <c r="E4" s="156" t="s">
        <v>212</v>
      </c>
      <c r="F4" s="156" t="s">
        <v>208</v>
      </c>
      <c r="G4" s="156" t="s">
        <v>412</v>
      </c>
      <c r="H4" s="156" t="s">
        <v>204</v>
      </c>
      <c r="I4" s="156" t="s">
        <v>205</v>
      </c>
      <c r="J4" s="156" t="s">
        <v>206</v>
      </c>
      <c r="K4" s="156" t="s">
        <v>214</v>
      </c>
      <c r="L4" s="157" t="s">
        <v>41</v>
      </c>
    </row>
    <row r="5" spans="1:12" ht="21" customHeight="1" thickBot="1" x14ac:dyDescent="0.25">
      <c r="A5" s="880"/>
      <c r="B5" s="35" t="s">
        <v>488</v>
      </c>
      <c r="C5" s="35" t="s">
        <v>488</v>
      </c>
      <c r="D5" s="35" t="s">
        <v>488</v>
      </c>
      <c r="E5" s="35" t="s">
        <v>488</v>
      </c>
      <c r="F5" s="35" t="s">
        <v>488</v>
      </c>
      <c r="G5" s="35" t="s">
        <v>488</v>
      </c>
      <c r="H5" s="35" t="s">
        <v>488</v>
      </c>
      <c r="I5" s="35" t="s">
        <v>488</v>
      </c>
      <c r="J5" s="35" t="s">
        <v>488</v>
      </c>
      <c r="K5" s="35" t="s">
        <v>488</v>
      </c>
      <c r="L5" s="35" t="s">
        <v>488</v>
      </c>
    </row>
    <row r="6" spans="1:12" ht="21" customHeight="1" thickBot="1" x14ac:dyDescent="0.25">
      <c r="A6" s="277" t="s">
        <v>222</v>
      </c>
      <c r="B6" s="91">
        <v>19643483</v>
      </c>
      <c r="C6" s="91">
        <v>3590000</v>
      </c>
      <c r="D6" s="126">
        <v>16967000</v>
      </c>
      <c r="E6" s="126"/>
      <c r="F6" s="91">
        <v>17122166</v>
      </c>
      <c r="G6" s="91">
        <v>15000000</v>
      </c>
      <c r="H6" s="91">
        <v>1330000</v>
      </c>
      <c r="I6" s="126"/>
      <c r="J6" s="126"/>
      <c r="K6" s="91"/>
      <c r="L6" s="209">
        <f>SUM(B6:K6)</f>
        <v>73652649</v>
      </c>
    </row>
    <row r="7" spans="1:12" ht="21" customHeight="1" thickBot="1" x14ac:dyDescent="0.25">
      <c r="A7" s="277" t="s">
        <v>189</v>
      </c>
      <c r="B7" s="91"/>
      <c r="C7" s="91"/>
      <c r="D7" s="126">
        <v>716000</v>
      </c>
      <c r="E7" s="126"/>
      <c r="F7" s="91">
        <v>5000000</v>
      </c>
      <c r="G7" s="91"/>
      <c r="H7" s="91">
        <v>11250216</v>
      </c>
      <c r="I7" s="126">
        <v>1000000</v>
      </c>
      <c r="J7" s="126"/>
      <c r="K7" s="91"/>
      <c r="L7" s="209">
        <f t="shared" ref="L7:L34" si="0">SUM(B7:K7)</f>
        <v>17966216</v>
      </c>
    </row>
    <row r="8" spans="1:12" ht="31.5" customHeight="1" thickBot="1" x14ac:dyDescent="0.25">
      <c r="A8" s="276" t="s">
        <v>182</v>
      </c>
      <c r="B8" s="91"/>
      <c r="C8" s="91"/>
      <c r="D8" s="126">
        <v>16843481</v>
      </c>
      <c r="E8" s="126"/>
      <c r="F8" s="91">
        <v>5103000</v>
      </c>
      <c r="G8" s="91"/>
      <c r="H8" s="91">
        <v>62467635</v>
      </c>
      <c r="I8" s="126"/>
      <c r="J8" s="126"/>
      <c r="K8" s="91"/>
      <c r="L8" s="209">
        <f>SUM(B8:K8)</f>
        <v>84414116</v>
      </c>
    </row>
    <row r="9" spans="1:12" ht="31.5" customHeight="1" thickBot="1" x14ac:dyDescent="0.25">
      <c r="A9" s="714" t="s">
        <v>385</v>
      </c>
      <c r="B9" s="713"/>
      <c r="C9" s="91"/>
      <c r="D9" s="126"/>
      <c r="E9" s="126"/>
      <c r="F9" s="91">
        <v>22522905</v>
      </c>
      <c r="G9" s="91"/>
      <c r="H9" s="91"/>
      <c r="I9" s="126"/>
      <c r="J9" s="126"/>
      <c r="K9" s="91">
        <v>10353836</v>
      </c>
      <c r="L9" s="209">
        <f t="shared" si="0"/>
        <v>32876741</v>
      </c>
    </row>
    <row r="10" spans="1:12" ht="31.5" customHeight="1" thickBot="1" x14ac:dyDescent="0.25">
      <c r="A10" s="714" t="s">
        <v>410</v>
      </c>
      <c r="B10" s="713"/>
      <c r="C10" s="91"/>
      <c r="D10" s="126"/>
      <c r="E10" s="126"/>
      <c r="F10" s="91">
        <v>47345308</v>
      </c>
      <c r="G10" s="91"/>
      <c r="H10" s="91"/>
      <c r="I10" s="126"/>
      <c r="J10" s="126"/>
      <c r="K10" s="91"/>
      <c r="L10" s="209">
        <f t="shared" si="0"/>
        <v>47345308</v>
      </c>
    </row>
    <row r="11" spans="1:12" ht="21" customHeight="1" thickBot="1" x14ac:dyDescent="0.25">
      <c r="A11" s="274" t="s">
        <v>217</v>
      </c>
      <c r="B11" s="91"/>
      <c r="C11" s="91"/>
      <c r="D11" s="126"/>
      <c r="E11" s="126"/>
      <c r="F11" s="91">
        <v>11250713</v>
      </c>
      <c r="G11" s="91"/>
      <c r="H11" s="91"/>
      <c r="I11" s="126"/>
      <c r="J11" s="91"/>
      <c r="K11" s="91"/>
      <c r="L11" s="209">
        <f t="shared" si="0"/>
        <v>11250713</v>
      </c>
    </row>
    <row r="12" spans="1:12" ht="21" customHeight="1" thickBot="1" x14ac:dyDescent="0.25">
      <c r="A12" s="277" t="s">
        <v>188</v>
      </c>
      <c r="B12" s="91">
        <v>65293854</v>
      </c>
      <c r="C12" s="91">
        <v>6163826</v>
      </c>
      <c r="D12" s="126">
        <v>21505389</v>
      </c>
      <c r="E12" s="126"/>
      <c r="F12" s="91">
        <v>22605000</v>
      </c>
      <c r="G12" s="91"/>
      <c r="H12" s="91">
        <v>9056349</v>
      </c>
      <c r="I12" s="126"/>
      <c r="J12" s="126"/>
      <c r="K12" s="91"/>
      <c r="L12" s="209">
        <f t="shared" si="0"/>
        <v>124624418</v>
      </c>
    </row>
    <row r="13" spans="1:12" ht="21" customHeight="1" thickBot="1" x14ac:dyDescent="0.25">
      <c r="A13" s="277" t="s">
        <v>387</v>
      </c>
      <c r="B13" s="91">
        <v>569000</v>
      </c>
      <c r="C13" s="91">
        <v>100000</v>
      </c>
      <c r="D13" s="126">
        <v>8692000</v>
      </c>
      <c r="E13" s="126"/>
      <c r="F13" s="91"/>
      <c r="G13" s="91"/>
      <c r="H13" s="91">
        <v>254000</v>
      </c>
      <c r="I13" s="126"/>
      <c r="J13" s="126"/>
      <c r="K13" s="91"/>
      <c r="L13" s="209">
        <f t="shared" si="0"/>
        <v>9615000</v>
      </c>
    </row>
    <row r="14" spans="1:12" s="137" customFormat="1" ht="21" customHeight="1" thickBot="1" x14ac:dyDescent="0.25">
      <c r="A14" s="274" t="s">
        <v>306</v>
      </c>
      <c r="B14" s="35"/>
      <c r="C14" s="91"/>
      <c r="D14" s="126">
        <v>14622359</v>
      </c>
      <c r="E14" s="126"/>
      <c r="F14" s="91"/>
      <c r="G14" s="91"/>
      <c r="H14" s="91">
        <v>627457905</v>
      </c>
      <c r="I14" s="126">
        <v>11313012</v>
      </c>
      <c r="J14" s="126"/>
      <c r="K14" s="91"/>
      <c r="L14" s="209">
        <f t="shared" si="0"/>
        <v>653393276</v>
      </c>
    </row>
    <row r="15" spans="1:12" s="137" customFormat="1" ht="21" customHeight="1" thickBot="1" x14ac:dyDescent="0.25">
      <c r="A15" s="274" t="s">
        <v>449</v>
      </c>
      <c r="B15" s="35"/>
      <c r="C15" s="91"/>
      <c r="D15" s="126"/>
      <c r="E15" s="126"/>
      <c r="F15" s="91"/>
      <c r="G15" s="91"/>
      <c r="H15" s="91">
        <v>103987979</v>
      </c>
      <c r="I15" s="126"/>
      <c r="J15" s="126"/>
      <c r="K15" s="91"/>
      <c r="L15" s="209">
        <f t="shared" si="0"/>
        <v>103987979</v>
      </c>
    </row>
    <row r="16" spans="1:12" s="137" customFormat="1" ht="21" customHeight="1" thickBot="1" x14ac:dyDescent="0.25">
      <c r="A16" s="274" t="s">
        <v>309</v>
      </c>
      <c r="B16" s="91"/>
      <c r="C16" s="91"/>
      <c r="D16" s="126">
        <v>7961000</v>
      </c>
      <c r="E16" s="126"/>
      <c r="F16" s="91"/>
      <c r="G16" s="91"/>
      <c r="H16" s="91"/>
      <c r="I16" s="126"/>
      <c r="J16" s="126"/>
      <c r="K16" s="91"/>
      <c r="L16" s="209">
        <f t="shared" si="0"/>
        <v>7961000</v>
      </c>
    </row>
    <row r="17" spans="1:12" s="137" customFormat="1" ht="21" customHeight="1" thickBot="1" x14ac:dyDescent="0.25">
      <c r="A17" s="509" t="s">
        <v>391</v>
      </c>
      <c r="B17" s="91"/>
      <c r="C17" s="91"/>
      <c r="D17" s="126">
        <v>163133474</v>
      </c>
      <c r="E17" s="126"/>
      <c r="F17" s="91">
        <v>50000</v>
      </c>
      <c r="G17" s="91"/>
      <c r="H17" s="91">
        <v>611300545</v>
      </c>
      <c r="I17" s="126"/>
      <c r="J17" s="126"/>
      <c r="K17" s="91"/>
      <c r="L17" s="209">
        <f t="shared" si="0"/>
        <v>774484019</v>
      </c>
    </row>
    <row r="18" spans="1:12" s="137" customFormat="1" ht="21" customHeight="1" thickBot="1" x14ac:dyDescent="0.25">
      <c r="A18" s="276" t="s">
        <v>216</v>
      </c>
      <c r="B18" s="91"/>
      <c r="C18" s="91"/>
      <c r="D18" s="126">
        <v>15058000</v>
      </c>
      <c r="E18" s="126"/>
      <c r="F18" s="91"/>
      <c r="G18" s="91"/>
      <c r="H18" s="91"/>
      <c r="I18" s="126"/>
      <c r="J18" s="126"/>
      <c r="K18" s="91"/>
      <c r="L18" s="209">
        <f t="shared" si="0"/>
        <v>15058000</v>
      </c>
    </row>
    <row r="19" spans="1:12" s="137" customFormat="1" ht="21" customHeight="1" thickBot="1" x14ac:dyDescent="0.25">
      <c r="A19" s="274" t="s">
        <v>183</v>
      </c>
      <c r="B19" s="91">
        <v>2740200</v>
      </c>
      <c r="C19" s="91">
        <v>480000</v>
      </c>
      <c r="D19" s="126">
        <v>50505920</v>
      </c>
      <c r="E19" s="126"/>
      <c r="F19" s="91"/>
      <c r="G19" s="91"/>
      <c r="H19" s="91"/>
      <c r="I19" s="126"/>
      <c r="J19" s="126"/>
      <c r="K19" s="91"/>
      <c r="L19" s="209">
        <f t="shared" si="0"/>
        <v>53726120</v>
      </c>
    </row>
    <row r="20" spans="1:12" ht="21" customHeight="1" thickBot="1" x14ac:dyDescent="0.25">
      <c r="A20" s="274" t="s">
        <v>218</v>
      </c>
      <c r="B20" s="91">
        <v>920000</v>
      </c>
      <c r="C20" s="91">
        <v>248400</v>
      </c>
      <c r="D20" s="126">
        <v>2846000</v>
      </c>
      <c r="E20" s="126"/>
      <c r="F20" s="91"/>
      <c r="G20" s="91"/>
      <c r="H20" s="91"/>
      <c r="I20" s="126"/>
      <c r="J20" s="91"/>
      <c r="K20" s="91"/>
      <c r="L20" s="209">
        <f t="shared" si="0"/>
        <v>4014400</v>
      </c>
    </row>
    <row r="21" spans="1:12" ht="21" customHeight="1" thickBot="1" x14ac:dyDescent="0.25">
      <c r="A21" s="274" t="s">
        <v>219</v>
      </c>
      <c r="B21" s="91"/>
      <c r="C21" s="91"/>
      <c r="D21" s="126">
        <v>8054000</v>
      </c>
      <c r="E21" s="126"/>
      <c r="F21" s="91"/>
      <c r="G21" s="91"/>
      <c r="H21" s="91"/>
      <c r="I21" s="126"/>
      <c r="J21" s="91"/>
      <c r="K21" s="91"/>
      <c r="L21" s="209">
        <f t="shared" si="0"/>
        <v>8054000</v>
      </c>
    </row>
    <row r="22" spans="1:12" ht="21" customHeight="1" thickBot="1" x14ac:dyDescent="0.25">
      <c r="A22" s="274" t="s">
        <v>220</v>
      </c>
      <c r="B22" s="91"/>
      <c r="C22" s="91"/>
      <c r="D22" s="126">
        <v>3570400</v>
      </c>
      <c r="E22" s="126"/>
      <c r="F22" s="91"/>
      <c r="G22" s="91"/>
      <c r="H22" s="91"/>
      <c r="I22" s="126"/>
      <c r="J22" s="91"/>
      <c r="K22" s="91"/>
      <c r="L22" s="209">
        <f t="shared" si="0"/>
        <v>3570400</v>
      </c>
    </row>
    <row r="23" spans="1:12" s="281" customFormat="1" ht="21" customHeight="1" thickBot="1" x14ac:dyDescent="0.25">
      <c r="A23" s="715" t="s">
        <v>194</v>
      </c>
      <c r="B23" s="91"/>
      <c r="C23" s="91"/>
      <c r="D23" s="126"/>
      <c r="E23" s="126"/>
      <c r="F23" s="91"/>
      <c r="G23" s="91"/>
      <c r="H23" s="91">
        <v>2000000</v>
      </c>
      <c r="I23" s="126"/>
      <c r="J23" s="91"/>
      <c r="K23" s="91"/>
      <c r="L23" s="209">
        <f t="shared" si="0"/>
        <v>2000000</v>
      </c>
    </row>
    <row r="24" spans="1:12" ht="21" customHeight="1" thickBot="1" x14ac:dyDescent="0.25">
      <c r="A24" s="274" t="s">
        <v>215</v>
      </c>
      <c r="B24" s="91"/>
      <c r="C24" s="91"/>
      <c r="D24" s="126">
        <v>800000</v>
      </c>
      <c r="E24" s="126"/>
      <c r="F24" s="91"/>
      <c r="G24" s="91"/>
      <c r="H24" s="91"/>
      <c r="I24" s="126"/>
      <c r="J24" s="126"/>
      <c r="K24" s="91"/>
      <c r="L24" s="209">
        <f t="shared" si="0"/>
        <v>800000</v>
      </c>
    </row>
    <row r="25" spans="1:12" ht="21" customHeight="1" thickBot="1" x14ac:dyDescent="0.25">
      <c r="A25" s="277" t="s">
        <v>386</v>
      </c>
      <c r="B25" s="91"/>
      <c r="C25" s="91"/>
      <c r="D25" s="126"/>
      <c r="E25" s="126"/>
      <c r="F25" s="91">
        <v>4308000</v>
      </c>
      <c r="G25" s="91"/>
      <c r="H25" s="91"/>
      <c r="I25" s="126"/>
      <c r="J25" s="126"/>
      <c r="K25" s="91"/>
      <c r="L25" s="209">
        <f t="shared" si="0"/>
        <v>4308000</v>
      </c>
    </row>
    <row r="26" spans="1:12" ht="21" customHeight="1" thickBot="1" x14ac:dyDescent="0.25">
      <c r="A26" s="277" t="s">
        <v>450</v>
      </c>
      <c r="B26" s="91"/>
      <c r="C26" s="91"/>
      <c r="D26" s="126">
        <v>1175000</v>
      </c>
      <c r="E26" s="126"/>
      <c r="F26" s="91"/>
      <c r="G26" s="91"/>
      <c r="H26" s="91"/>
      <c r="I26" s="126"/>
      <c r="J26" s="126"/>
      <c r="K26" s="91"/>
      <c r="L26" s="209">
        <f t="shared" si="0"/>
        <v>1175000</v>
      </c>
    </row>
    <row r="27" spans="1:12" ht="21" customHeight="1" thickBot="1" x14ac:dyDescent="0.25">
      <c r="A27" s="277" t="s">
        <v>411</v>
      </c>
      <c r="B27" s="91"/>
      <c r="C27" s="91"/>
      <c r="D27" s="126">
        <v>9271622</v>
      </c>
      <c r="E27" s="126"/>
      <c r="F27" s="91"/>
      <c r="G27" s="91"/>
      <c r="H27" s="91"/>
      <c r="I27" s="126"/>
      <c r="J27" s="126"/>
      <c r="K27" s="91"/>
      <c r="L27" s="209">
        <f t="shared" si="0"/>
        <v>9271622</v>
      </c>
    </row>
    <row r="28" spans="1:12" ht="21" customHeight="1" thickBot="1" x14ac:dyDescent="0.25">
      <c r="A28" s="277" t="s">
        <v>310</v>
      </c>
      <c r="B28" s="91"/>
      <c r="C28" s="91"/>
      <c r="D28" s="126"/>
      <c r="E28" s="126">
        <v>1735000</v>
      </c>
      <c r="F28" s="91"/>
      <c r="G28" s="91"/>
      <c r="H28" s="91"/>
      <c r="I28" s="126"/>
      <c r="J28" s="126"/>
      <c r="K28" s="91"/>
      <c r="L28" s="209">
        <f t="shared" si="0"/>
        <v>1735000</v>
      </c>
    </row>
    <row r="29" spans="1:12" ht="28.5" customHeight="1" thickBot="1" x14ac:dyDescent="0.25">
      <c r="A29" s="275" t="s">
        <v>181</v>
      </c>
      <c r="B29" s="91"/>
      <c r="C29" s="91"/>
      <c r="D29" s="126">
        <v>1270000</v>
      </c>
      <c r="E29" s="126"/>
      <c r="F29" s="91"/>
      <c r="G29" s="91"/>
      <c r="H29" s="91"/>
      <c r="I29" s="126"/>
      <c r="J29" s="126"/>
      <c r="K29" s="91"/>
      <c r="L29" s="209">
        <f t="shared" si="0"/>
        <v>1270000</v>
      </c>
    </row>
    <row r="30" spans="1:12" ht="21" customHeight="1" thickBot="1" x14ac:dyDescent="0.25">
      <c r="A30" s="277" t="s">
        <v>187</v>
      </c>
      <c r="B30" s="91">
        <v>3793700</v>
      </c>
      <c r="C30" s="91">
        <v>620100</v>
      </c>
      <c r="D30" s="126">
        <v>1506500</v>
      </c>
      <c r="E30" s="126"/>
      <c r="F30" s="91"/>
      <c r="G30" s="91"/>
      <c r="H30" s="91"/>
      <c r="I30" s="111"/>
      <c r="J30" s="111"/>
      <c r="K30" s="91"/>
      <c r="L30" s="209">
        <f t="shared" si="0"/>
        <v>5920300</v>
      </c>
    </row>
    <row r="31" spans="1:12" ht="21" customHeight="1" thickBot="1" x14ac:dyDescent="0.25">
      <c r="A31" s="277" t="s">
        <v>221</v>
      </c>
      <c r="B31" s="91"/>
      <c r="C31" s="91"/>
      <c r="D31" s="126">
        <v>150000</v>
      </c>
      <c r="E31" s="126">
        <v>12270000</v>
      </c>
      <c r="F31" s="91">
        <v>400000</v>
      </c>
      <c r="G31" s="91"/>
      <c r="H31" s="91"/>
      <c r="I31" s="126"/>
      <c r="J31" s="126"/>
      <c r="K31" s="91"/>
      <c r="L31" s="209">
        <f t="shared" si="0"/>
        <v>12820000</v>
      </c>
    </row>
    <row r="32" spans="1:12" ht="35.25" customHeight="1" thickBot="1" x14ac:dyDescent="0.25">
      <c r="A32" s="824" t="s">
        <v>534</v>
      </c>
      <c r="B32" s="91">
        <v>12983329</v>
      </c>
      <c r="C32" s="91">
        <v>2272086</v>
      </c>
      <c r="D32" s="126">
        <v>35701996</v>
      </c>
      <c r="E32" s="126"/>
      <c r="F32" s="91"/>
      <c r="G32" s="91"/>
      <c r="H32" s="91">
        <v>3590464</v>
      </c>
      <c r="I32" s="126">
        <v>3590464</v>
      </c>
      <c r="J32" s="126"/>
      <c r="K32" s="91"/>
      <c r="L32" s="209">
        <f t="shared" si="0"/>
        <v>58138339</v>
      </c>
    </row>
    <row r="33" spans="1:12" ht="21" customHeight="1" thickBot="1" x14ac:dyDescent="0.25">
      <c r="A33" s="274" t="s">
        <v>186</v>
      </c>
      <c r="B33" s="91"/>
      <c r="C33" s="91"/>
      <c r="D33" s="126">
        <v>4802000</v>
      </c>
      <c r="E33" s="126"/>
      <c r="F33" s="91"/>
      <c r="G33" s="91"/>
      <c r="H33" s="91"/>
      <c r="I33" s="126"/>
      <c r="J33" s="91"/>
      <c r="K33" s="91">
        <v>15274965</v>
      </c>
      <c r="L33" s="209">
        <f t="shared" si="0"/>
        <v>20076965</v>
      </c>
    </row>
    <row r="34" spans="1:12" ht="21" customHeight="1" thickBot="1" x14ac:dyDescent="0.25">
      <c r="A34" s="131" t="s">
        <v>30</v>
      </c>
      <c r="B34" s="138">
        <f t="shared" ref="B34:K34" si="1">SUM(B6:B33)</f>
        <v>105943566</v>
      </c>
      <c r="C34" s="138">
        <f t="shared" si="1"/>
        <v>13474412</v>
      </c>
      <c r="D34" s="138">
        <f t="shared" si="1"/>
        <v>385152141</v>
      </c>
      <c r="E34" s="138">
        <f t="shared" si="1"/>
        <v>14005000</v>
      </c>
      <c r="F34" s="138">
        <f t="shared" si="1"/>
        <v>135707092</v>
      </c>
      <c r="G34" s="138">
        <f t="shared" si="1"/>
        <v>15000000</v>
      </c>
      <c r="H34" s="138">
        <f t="shared" si="1"/>
        <v>1432695093</v>
      </c>
      <c r="I34" s="138">
        <f t="shared" si="1"/>
        <v>15903476</v>
      </c>
      <c r="J34" s="138">
        <f t="shared" si="1"/>
        <v>0</v>
      </c>
      <c r="K34" s="138">
        <f t="shared" si="1"/>
        <v>25628801</v>
      </c>
      <c r="L34" s="209">
        <f t="shared" si="0"/>
        <v>2143509581</v>
      </c>
    </row>
    <row r="36" spans="1:12" x14ac:dyDescent="0.2">
      <c r="E36" s="2"/>
      <c r="J36" s="127"/>
      <c r="L36" s="2"/>
    </row>
    <row r="37" spans="1:12" x14ac:dyDescent="0.2">
      <c r="L37" s="2"/>
    </row>
    <row r="38" spans="1:12" x14ac:dyDescent="0.2">
      <c r="A38" s="139"/>
      <c r="B38" s="37"/>
      <c r="C38" s="37"/>
      <c r="D38" s="37"/>
      <c r="E38" s="37"/>
      <c r="F38" s="37"/>
      <c r="G38" s="37"/>
      <c r="H38" s="37"/>
    </row>
    <row r="39" spans="1:12" x14ac:dyDescent="0.2">
      <c r="A39" s="140"/>
      <c r="B39" s="40"/>
      <c r="C39" s="40"/>
      <c r="D39" s="40"/>
      <c r="E39" s="40"/>
      <c r="F39" s="40"/>
      <c r="G39" s="40"/>
      <c r="H39" s="40"/>
      <c r="L39" s="127"/>
    </row>
    <row r="40" spans="1:12" x14ac:dyDescent="0.2">
      <c r="A40" s="41"/>
      <c r="B40" s="121"/>
      <c r="C40" s="121"/>
      <c r="D40" s="121"/>
      <c r="E40" s="121"/>
      <c r="F40" s="121"/>
      <c r="G40" s="121"/>
      <c r="H40" s="121"/>
    </row>
    <row r="41" spans="1:12" x14ac:dyDescent="0.2">
      <c r="A41" s="41"/>
      <c r="B41" s="121"/>
      <c r="C41" s="121"/>
      <c r="D41" s="122"/>
      <c r="E41" s="121"/>
      <c r="F41" s="121"/>
      <c r="G41" s="121"/>
      <c r="H41" s="121"/>
    </row>
    <row r="42" spans="1:12" x14ac:dyDescent="0.2">
      <c r="A42" s="41"/>
      <c r="B42" s="121"/>
      <c r="C42" s="121"/>
      <c r="D42" s="121"/>
      <c r="E42" s="121"/>
      <c r="F42" s="121"/>
      <c r="G42" s="121"/>
      <c r="H42" s="121"/>
    </row>
    <row r="43" spans="1:12" x14ac:dyDescent="0.2">
      <c r="A43" s="41"/>
      <c r="B43" s="121"/>
      <c r="C43" s="121"/>
      <c r="D43" s="121"/>
      <c r="E43" s="121"/>
      <c r="F43" s="121"/>
      <c r="G43" s="121"/>
      <c r="H43" s="121"/>
    </row>
    <row r="44" spans="1:12" x14ac:dyDescent="0.2">
      <c r="A44" s="41"/>
      <c r="B44" s="121"/>
      <c r="C44" s="121"/>
      <c r="D44" s="121"/>
      <c r="E44" s="121"/>
      <c r="F44" s="121"/>
      <c r="G44" s="121"/>
      <c r="H44" s="121"/>
    </row>
    <row r="45" spans="1:12" x14ac:dyDescent="0.2">
      <c r="A45" s="41"/>
      <c r="B45" s="121"/>
      <c r="C45" s="121"/>
      <c r="D45" s="121"/>
      <c r="E45" s="121"/>
      <c r="F45" s="121"/>
      <c r="G45" s="121"/>
      <c r="H45" s="121"/>
    </row>
    <row r="46" spans="1:12" x14ac:dyDescent="0.2">
      <c r="A46" s="41"/>
      <c r="B46" s="121"/>
      <c r="C46" s="121"/>
      <c r="D46" s="121"/>
      <c r="E46" s="121"/>
      <c r="F46" s="121"/>
      <c r="G46" s="121"/>
      <c r="H46" s="121"/>
    </row>
    <row r="47" spans="1:12" x14ac:dyDescent="0.2">
      <c r="A47" s="41"/>
      <c r="B47" s="121"/>
      <c r="C47" s="121"/>
      <c r="D47" s="121"/>
      <c r="E47" s="121"/>
      <c r="F47" s="121"/>
      <c r="G47" s="121"/>
      <c r="H47" s="121"/>
    </row>
    <row r="48" spans="1:12" x14ac:dyDescent="0.2">
      <c r="A48" s="41"/>
      <c r="B48" s="121"/>
      <c r="C48" s="121"/>
      <c r="D48" s="121"/>
      <c r="E48" s="121"/>
      <c r="F48" s="121"/>
      <c r="G48" s="121"/>
      <c r="H48" s="121"/>
    </row>
    <row r="49" spans="1:9" x14ac:dyDescent="0.2">
      <c r="A49" s="41"/>
      <c r="B49" s="121"/>
      <c r="C49" s="121"/>
      <c r="D49" s="121"/>
      <c r="E49" s="121"/>
      <c r="F49" s="121"/>
      <c r="G49" s="121"/>
      <c r="H49" s="121"/>
    </row>
    <row r="50" spans="1:9" x14ac:dyDescent="0.2">
      <c r="A50" s="41"/>
      <c r="B50" s="121"/>
      <c r="C50" s="121"/>
      <c r="D50" s="121"/>
      <c r="E50" s="121"/>
      <c r="F50" s="121"/>
      <c r="G50" s="121"/>
      <c r="H50" s="121"/>
    </row>
    <row r="51" spans="1:9" x14ac:dyDescent="0.2">
      <c r="A51" s="41"/>
      <c r="B51" s="121"/>
      <c r="C51" s="121"/>
      <c r="D51" s="121"/>
      <c r="E51" s="121"/>
      <c r="F51" s="121"/>
      <c r="G51" s="121"/>
      <c r="H51" s="121"/>
      <c r="I51" s="1"/>
    </row>
    <row r="52" spans="1:9" x14ac:dyDescent="0.2">
      <c r="A52" s="41"/>
      <c r="B52" s="121"/>
      <c r="C52" s="121"/>
      <c r="D52" s="121"/>
      <c r="E52" s="121"/>
      <c r="F52" s="121"/>
      <c r="G52" s="121"/>
      <c r="H52" s="121"/>
    </row>
    <row r="53" spans="1:9" x14ac:dyDescent="0.2">
      <c r="A53" s="41"/>
      <c r="B53" s="121"/>
      <c r="C53" s="121"/>
      <c r="D53" s="121"/>
      <c r="E53" s="121"/>
      <c r="F53" s="121"/>
      <c r="G53" s="121"/>
      <c r="H53" s="121"/>
    </row>
    <row r="54" spans="1:9" x14ac:dyDescent="0.2">
      <c r="A54" s="140"/>
      <c r="B54" s="123"/>
      <c r="C54" s="123"/>
      <c r="D54" s="123"/>
      <c r="E54" s="123"/>
      <c r="F54" s="123"/>
      <c r="G54" s="123"/>
      <c r="H54" s="123"/>
    </row>
    <row r="55" spans="1:9" x14ac:dyDescent="0.2">
      <c r="B55" s="1"/>
      <c r="C55" s="1"/>
      <c r="D55" s="1"/>
      <c r="E55" s="1"/>
      <c r="F55" s="1"/>
      <c r="G55" s="1"/>
      <c r="H55" s="1"/>
    </row>
    <row r="56" spans="1:9" x14ac:dyDescent="0.2">
      <c r="B56" s="1"/>
      <c r="C56" s="1"/>
      <c r="D56" s="1"/>
      <c r="E56" s="1"/>
      <c r="F56" s="1"/>
      <c r="G56" s="1"/>
      <c r="H56" s="1"/>
    </row>
  </sheetData>
  <mergeCells count="2">
    <mergeCell ref="A2:L2"/>
    <mergeCell ref="A4:A5"/>
  </mergeCells>
  <phoneticPr fontId="39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&amp;R3.1. sz. melléklet
..../ 2018. (....)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2"/>
  <sheetViews>
    <sheetView topLeftCell="C16" zoomScaleNormal="100" zoomScaleSheetLayoutView="100" workbookViewId="0">
      <selection activeCell="G9" sqref="G9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  <col min="13" max="13" width="13.7109375" style="641" bestFit="1" customWidth="1"/>
  </cols>
  <sheetData>
    <row r="2" spans="1:15" ht="15.75" x14ac:dyDescent="0.25">
      <c r="A2" s="928" t="s">
        <v>597</v>
      </c>
      <c r="B2" s="929"/>
      <c r="C2" s="929"/>
      <c r="D2" s="929"/>
      <c r="E2" s="929"/>
      <c r="F2" s="929"/>
      <c r="G2" s="929"/>
      <c r="H2" s="929"/>
      <c r="I2" s="930"/>
      <c r="J2" s="930"/>
      <c r="K2" s="930"/>
      <c r="L2" s="930"/>
    </row>
    <row r="3" spans="1:15" ht="13.5" thickBot="1" x14ac:dyDescent="0.25">
      <c r="L3" s="246"/>
    </row>
    <row r="4" spans="1:15" x14ac:dyDescent="0.2">
      <c r="E4" s="2"/>
      <c r="J4" s="127"/>
      <c r="L4" s="2"/>
    </row>
    <row r="5" spans="1:15" ht="13.5" thickBot="1" x14ac:dyDescent="0.25"/>
    <row r="6" spans="1:15" ht="102" customHeight="1" thickBot="1" x14ac:dyDescent="0.25">
      <c r="A6" s="879" t="s">
        <v>180</v>
      </c>
      <c r="B6" s="156" t="s">
        <v>200</v>
      </c>
      <c r="C6" s="156" t="s">
        <v>211</v>
      </c>
      <c r="D6" s="156" t="s">
        <v>202</v>
      </c>
      <c r="E6" s="156" t="s">
        <v>212</v>
      </c>
      <c r="F6" s="156" t="s">
        <v>208</v>
      </c>
      <c r="G6" s="156" t="s">
        <v>412</v>
      </c>
      <c r="H6" s="156" t="s">
        <v>204</v>
      </c>
      <c r="I6" s="156" t="s">
        <v>205</v>
      </c>
      <c r="J6" s="156" t="s">
        <v>206</v>
      </c>
      <c r="K6" s="156" t="s">
        <v>214</v>
      </c>
      <c r="L6" s="157" t="s">
        <v>41</v>
      </c>
    </row>
    <row r="7" spans="1:15" ht="21" customHeight="1" thickBot="1" x14ac:dyDescent="0.25">
      <c r="A7" s="880"/>
      <c r="B7" s="35" t="s">
        <v>488</v>
      </c>
      <c r="C7" s="35" t="s">
        <v>488</v>
      </c>
      <c r="D7" s="35" t="s">
        <v>488</v>
      </c>
      <c r="E7" s="35" t="s">
        <v>488</v>
      </c>
      <c r="F7" s="35" t="s">
        <v>488</v>
      </c>
      <c r="G7" s="35" t="s">
        <v>488</v>
      </c>
      <c r="H7" s="35" t="s">
        <v>488</v>
      </c>
      <c r="I7" s="35" t="s">
        <v>488</v>
      </c>
      <c r="J7" s="35" t="s">
        <v>488</v>
      </c>
      <c r="K7" s="35" t="s">
        <v>488</v>
      </c>
      <c r="L7" s="35" t="s">
        <v>488</v>
      </c>
    </row>
    <row r="8" spans="1:15" ht="21" customHeight="1" thickBot="1" x14ac:dyDescent="0.25">
      <c r="A8" s="277" t="s">
        <v>222</v>
      </c>
      <c r="B8" s="91">
        <v>19643483</v>
      </c>
      <c r="C8" s="91">
        <v>3590000</v>
      </c>
      <c r="D8" s="126">
        <v>16098000</v>
      </c>
      <c r="E8" s="126"/>
      <c r="F8" s="91">
        <v>17122166</v>
      </c>
      <c r="G8" s="91">
        <v>15000000</v>
      </c>
      <c r="H8" s="91">
        <v>1330000</v>
      </c>
      <c r="I8" s="126"/>
      <c r="J8" s="126"/>
      <c r="K8" s="91"/>
      <c r="L8" s="209">
        <f>SUM(B8:K8)</f>
        <v>72783649</v>
      </c>
      <c r="N8" s="931"/>
      <c r="O8" s="932"/>
    </row>
    <row r="9" spans="1:15" ht="21" customHeight="1" thickBot="1" x14ac:dyDescent="0.25">
      <c r="A9" s="277" t="s">
        <v>189</v>
      </c>
      <c r="B9" s="91"/>
      <c r="C9" s="91"/>
      <c r="D9" s="126">
        <v>716000</v>
      </c>
      <c r="E9" s="126"/>
      <c r="F9" s="91">
        <v>5000000</v>
      </c>
      <c r="G9" s="91"/>
      <c r="H9" s="91">
        <v>11250216</v>
      </c>
      <c r="I9" s="126">
        <v>1000000</v>
      </c>
      <c r="J9" s="126"/>
      <c r="K9" s="91"/>
      <c r="L9" s="209">
        <f t="shared" ref="L9:L32" si="0">SUM(B9:K9)</f>
        <v>17966216</v>
      </c>
    </row>
    <row r="10" spans="1:15" ht="31.5" customHeight="1" thickBot="1" x14ac:dyDescent="0.25">
      <c r="A10" s="276" t="s">
        <v>182</v>
      </c>
      <c r="B10" s="91"/>
      <c r="C10" s="91"/>
      <c r="D10" s="126">
        <v>16843481</v>
      </c>
      <c r="E10" s="126"/>
      <c r="F10" s="91">
        <v>5103000</v>
      </c>
      <c r="G10" s="91"/>
      <c r="H10" s="91">
        <v>62467635</v>
      </c>
      <c r="I10" s="126"/>
      <c r="J10" s="126"/>
      <c r="K10" s="91"/>
      <c r="L10" s="209">
        <f>SUM(B10:K10)</f>
        <v>84414116</v>
      </c>
    </row>
    <row r="11" spans="1:15" ht="31.5" customHeight="1" thickBot="1" x14ac:dyDescent="0.25">
      <c r="A11" s="714" t="s">
        <v>385</v>
      </c>
      <c r="B11" s="713"/>
      <c r="C11" s="91"/>
      <c r="D11" s="126"/>
      <c r="E11" s="126"/>
      <c r="F11" s="91">
        <v>22522905</v>
      </c>
      <c r="G11" s="91"/>
      <c r="H11" s="91"/>
      <c r="I11" s="126"/>
      <c r="J11" s="126"/>
      <c r="K11" s="91">
        <v>10353836</v>
      </c>
      <c r="L11" s="209">
        <f t="shared" si="0"/>
        <v>32876741</v>
      </c>
    </row>
    <row r="12" spans="1:15" ht="31.5" customHeight="1" thickBot="1" x14ac:dyDescent="0.25">
      <c r="A12" s="714" t="s">
        <v>410</v>
      </c>
      <c r="B12" s="713"/>
      <c r="C12" s="91"/>
      <c r="D12" s="126"/>
      <c r="E12" s="126"/>
      <c r="F12" s="91">
        <v>36986308</v>
      </c>
      <c r="G12" s="91"/>
      <c r="H12" s="91"/>
      <c r="I12" s="126"/>
      <c r="J12" s="126"/>
      <c r="K12" s="91"/>
      <c r="L12" s="209">
        <f t="shared" si="0"/>
        <v>36986308</v>
      </c>
      <c r="N12" s="931"/>
      <c r="O12" s="932"/>
    </row>
    <row r="13" spans="1:15" ht="21" customHeight="1" thickBot="1" x14ac:dyDescent="0.25">
      <c r="A13" s="274" t="s">
        <v>217</v>
      </c>
      <c r="B13" s="91"/>
      <c r="C13" s="91"/>
      <c r="D13" s="126"/>
      <c r="E13" s="126"/>
      <c r="F13" s="91">
        <v>11250713</v>
      </c>
      <c r="G13" s="91"/>
      <c r="H13" s="91"/>
      <c r="I13" s="126"/>
      <c r="J13" s="91"/>
      <c r="K13" s="91"/>
      <c r="L13" s="209">
        <f t="shared" si="0"/>
        <v>11250713</v>
      </c>
    </row>
    <row r="14" spans="1:15" ht="21" customHeight="1" thickBot="1" x14ac:dyDescent="0.25">
      <c r="A14" s="277" t="s">
        <v>188</v>
      </c>
      <c r="B14" s="91">
        <v>65293854</v>
      </c>
      <c r="C14" s="91">
        <v>6163826</v>
      </c>
      <c r="D14" s="126">
        <v>21505389</v>
      </c>
      <c r="E14" s="126"/>
      <c r="F14" s="91">
        <v>22605000</v>
      </c>
      <c r="G14" s="91"/>
      <c r="H14" s="91">
        <v>9056349</v>
      </c>
      <c r="I14" s="126"/>
      <c r="J14" s="126"/>
      <c r="K14" s="91"/>
      <c r="L14" s="209">
        <f t="shared" si="0"/>
        <v>124624418</v>
      </c>
    </row>
    <row r="15" spans="1:15" ht="21" customHeight="1" thickBot="1" x14ac:dyDescent="0.25">
      <c r="A15" s="277" t="s">
        <v>387</v>
      </c>
      <c r="B15" s="91">
        <v>569000</v>
      </c>
      <c r="C15" s="91">
        <v>100000</v>
      </c>
      <c r="D15" s="126">
        <v>8692000</v>
      </c>
      <c r="E15" s="126"/>
      <c r="F15" s="91"/>
      <c r="G15" s="91"/>
      <c r="H15" s="91">
        <v>254000</v>
      </c>
      <c r="I15" s="126"/>
      <c r="J15" s="126"/>
      <c r="K15" s="91"/>
      <c r="L15" s="209">
        <f t="shared" si="0"/>
        <v>9615000</v>
      </c>
    </row>
    <row r="16" spans="1:15" s="137" customFormat="1" ht="21" customHeight="1" thickBot="1" x14ac:dyDescent="0.25">
      <c r="A16" s="274" t="s">
        <v>306</v>
      </c>
      <c r="B16" s="35"/>
      <c r="C16" s="91"/>
      <c r="D16" s="126">
        <v>14622359</v>
      </c>
      <c r="E16" s="126"/>
      <c r="F16" s="91"/>
      <c r="G16" s="91"/>
      <c r="H16" s="91">
        <v>627457905</v>
      </c>
      <c r="I16" s="126">
        <v>11313012</v>
      </c>
      <c r="J16" s="126"/>
      <c r="K16" s="91"/>
      <c r="L16" s="209">
        <f t="shared" si="0"/>
        <v>653393276</v>
      </c>
      <c r="M16" s="197"/>
    </row>
    <row r="17" spans="1:15" s="137" customFormat="1" ht="21" customHeight="1" thickBot="1" x14ac:dyDescent="0.25">
      <c r="A17" s="274" t="s">
        <v>449</v>
      </c>
      <c r="B17" s="35"/>
      <c r="C17" s="91"/>
      <c r="D17" s="126"/>
      <c r="E17" s="126"/>
      <c r="F17" s="91"/>
      <c r="G17" s="91"/>
      <c r="H17" s="91">
        <v>103987979</v>
      </c>
      <c r="I17" s="126"/>
      <c r="J17" s="126"/>
      <c r="K17" s="91"/>
      <c r="L17" s="209">
        <f t="shared" si="0"/>
        <v>103987979</v>
      </c>
      <c r="M17" s="197"/>
    </row>
    <row r="18" spans="1:15" s="137" customFormat="1" ht="21" customHeight="1" thickBot="1" x14ac:dyDescent="0.25">
      <c r="A18" s="274" t="s">
        <v>309</v>
      </c>
      <c r="B18" s="91"/>
      <c r="C18" s="91"/>
      <c r="D18" s="126">
        <v>7961000</v>
      </c>
      <c r="E18" s="126"/>
      <c r="F18" s="91"/>
      <c r="G18" s="91"/>
      <c r="H18" s="91"/>
      <c r="I18" s="126"/>
      <c r="J18" s="126"/>
      <c r="K18" s="91"/>
      <c r="L18" s="209">
        <f t="shared" si="0"/>
        <v>7961000</v>
      </c>
      <c r="M18" s="197"/>
    </row>
    <row r="19" spans="1:15" s="137" customFormat="1" ht="21" customHeight="1" thickBot="1" x14ac:dyDescent="0.25">
      <c r="A19" s="509" t="s">
        <v>391</v>
      </c>
      <c r="B19" s="91"/>
      <c r="C19" s="91"/>
      <c r="D19" s="126">
        <v>163133474</v>
      </c>
      <c r="E19" s="126"/>
      <c r="F19" s="91">
        <v>50000</v>
      </c>
      <c r="G19" s="91"/>
      <c r="H19" s="91">
        <v>611300545</v>
      </c>
      <c r="I19" s="126"/>
      <c r="J19" s="126"/>
      <c r="K19" s="91"/>
      <c r="L19" s="209">
        <f t="shared" si="0"/>
        <v>774484019</v>
      </c>
      <c r="M19" s="197"/>
    </row>
    <row r="20" spans="1:15" s="137" customFormat="1" ht="21" customHeight="1" thickBot="1" x14ac:dyDescent="0.25">
      <c r="A20" s="276" t="s">
        <v>216</v>
      </c>
      <c r="B20" s="91"/>
      <c r="C20" s="91"/>
      <c r="D20" s="126">
        <v>15058000</v>
      </c>
      <c r="E20" s="126"/>
      <c r="F20" s="91"/>
      <c r="G20" s="91"/>
      <c r="H20" s="91"/>
      <c r="I20" s="126"/>
      <c r="J20" s="126"/>
      <c r="K20" s="91"/>
      <c r="L20" s="209">
        <f t="shared" si="0"/>
        <v>15058000</v>
      </c>
      <c r="M20" s="197"/>
    </row>
    <row r="21" spans="1:15" s="137" customFormat="1" ht="21" customHeight="1" thickBot="1" x14ac:dyDescent="0.25">
      <c r="A21" s="274" t="s">
        <v>183</v>
      </c>
      <c r="B21" s="91"/>
      <c r="C21" s="91"/>
      <c r="D21" s="126">
        <v>50505920</v>
      </c>
      <c r="E21" s="126"/>
      <c r="F21" s="91"/>
      <c r="G21" s="91"/>
      <c r="H21" s="91"/>
      <c r="I21" s="126"/>
      <c r="J21" s="126"/>
      <c r="K21" s="91"/>
      <c r="L21" s="209">
        <f t="shared" si="0"/>
        <v>50505920</v>
      </c>
      <c r="M21" s="197"/>
      <c r="N21" s="933"/>
      <c r="O21" s="934"/>
    </row>
    <row r="22" spans="1:15" ht="21" customHeight="1" thickBot="1" x14ac:dyDescent="0.25">
      <c r="A22" s="274" t="s">
        <v>218</v>
      </c>
      <c r="B22" s="91">
        <v>920000</v>
      </c>
      <c r="C22" s="91">
        <v>248400</v>
      </c>
      <c r="D22" s="126">
        <v>2846000</v>
      </c>
      <c r="E22" s="126"/>
      <c r="F22" s="91"/>
      <c r="G22" s="91"/>
      <c r="H22" s="91"/>
      <c r="I22" s="126"/>
      <c r="J22" s="91"/>
      <c r="K22" s="91"/>
      <c r="L22" s="209">
        <f t="shared" si="0"/>
        <v>4014400</v>
      </c>
    </row>
    <row r="23" spans="1:15" ht="21" customHeight="1" thickBot="1" x14ac:dyDescent="0.25">
      <c r="A23" s="274" t="s">
        <v>219</v>
      </c>
      <c r="B23" s="91"/>
      <c r="C23" s="91"/>
      <c r="D23" s="126">
        <v>8054000</v>
      </c>
      <c r="E23" s="126"/>
      <c r="F23" s="91"/>
      <c r="G23" s="91"/>
      <c r="H23" s="91"/>
      <c r="I23" s="126"/>
      <c r="J23" s="91"/>
      <c r="K23" s="91"/>
      <c r="L23" s="209">
        <f t="shared" si="0"/>
        <v>8054000</v>
      </c>
    </row>
    <row r="24" spans="1:15" s="281" customFormat="1" ht="21" customHeight="1" thickBot="1" x14ac:dyDescent="0.25">
      <c r="A24" s="715" t="s">
        <v>194</v>
      </c>
      <c r="B24" s="91"/>
      <c r="C24" s="91"/>
      <c r="D24" s="126"/>
      <c r="E24" s="126"/>
      <c r="F24" s="91"/>
      <c r="G24" s="91"/>
      <c r="H24" s="91">
        <v>2000000</v>
      </c>
      <c r="I24" s="126"/>
      <c r="J24" s="91"/>
      <c r="K24" s="91"/>
      <c r="L24" s="209">
        <f t="shared" si="0"/>
        <v>2000000</v>
      </c>
      <c r="M24" s="641"/>
    </row>
    <row r="25" spans="1:15" ht="21" customHeight="1" thickBot="1" x14ac:dyDescent="0.25">
      <c r="A25" s="277" t="s">
        <v>450</v>
      </c>
      <c r="B25" s="91"/>
      <c r="C25" s="91"/>
      <c r="D25" s="126">
        <v>1175000</v>
      </c>
      <c r="E25" s="126"/>
      <c r="F25" s="91"/>
      <c r="G25" s="91"/>
      <c r="H25" s="91"/>
      <c r="I25" s="126"/>
      <c r="J25" s="126"/>
      <c r="K25" s="91"/>
      <c r="L25" s="209">
        <f t="shared" si="0"/>
        <v>1175000</v>
      </c>
    </row>
    <row r="26" spans="1:15" ht="21" customHeight="1" thickBot="1" x14ac:dyDescent="0.25">
      <c r="A26" s="277" t="s">
        <v>411</v>
      </c>
      <c r="B26" s="91"/>
      <c r="C26" s="91"/>
      <c r="D26" s="126">
        <v>9271622</v>
      </c>
      <c r="E26" s="126"/>
      <c r="F26" s="91"/>
      <c r="G26" s="91"/>
      <c r="H26" s="91"/>
      <c r="I26" s="126"/>
      <c r="J26" s="126"/>
      <c r="K26" s="91"/>
      <c r="L26" s="209">
        <f t="shared" si="0"/>
        <v>9271622</v>
      </c>
    </row>
    <row r="27" spans="1:15" ht="21" customHeight="1" thickBot="1" x14ac:dyDescent="0.25">
      <c r="A27" s="277" t="s">
        <v>310</v>
      </c>
      <c r="B27" s="91"/>
      <c r="C27" s="91"/>
      <c r="D27" s="126"/>
      <c r="E27" s="126">
        <v>42600</v>
      </c>
      <c r="F27" s="91"/>
      <c r="G27" s="91"/>
      <c r="H27" s="91"/>
      <c r="I27" s="126"/>
      <c r="J27" s="126"/>
      <c r="K27" s="91"/>
      <c r="L27" s="209">
        <f t="shared" si="0"/>
        <v>42600</v>
      </c>
      <c r="N27" s="931"/>
      <c r="O27" s="932"/>
    </row>
    <row r="28" spans="1:15" ht="28.5" customHeight="1" thickBot="1" x14ac:dyDescent="0.25">
      <c r="A28" s="275" t="s">
        <v>181</v>
      </c>
      <c r="B28" s="91"/>
      <c r="C28" s="91"/>
      <c r="D28" s="126">
        <v>1270000</v>
      </c>
      <c r="E28" s="126"/>
      <c r="F28" s="91"/>
      <c r="G28" s="91"/>
      <c r="H28" s="91"/>
      <c r="I28" s="126"/>
      <c r="J28" s="126"/>
      <c r="K28" s="91"/>
      <c r="L28" s="209">
        <f t="shared" si="0"/>
        <v>1270000</v>
      </c>
    </row>
    <row r="29" spans="1:15" ht="21" customHeight="1" thickBot="1" x14ac:dyDescent="0.25">
      <c r="A29" s="277" t="s">
        <v>221</v>
      </c>
      <c r="B29" s="91"/>
      <c r="C29" s="91"/>
      <c r="D29" s="126"/>
      <c r="E29" s="126">
        <v>6500000</v>
      </c>
      <c r="F29" s="91"/>
      <c r="G29" s="91"/>
      <c r="H29" s="91"/>
      <c r="I29" s="126"/>
      <c r="J29" s="126"/>
      <c r="K29" s="91"/>
      <c r="L29" s="209">
        <f t="shared" si="0"/>
        <v>6500000</v>
      </c>
    </row>
    <row r="30" spans="1:15" ht="32.25" customHeight="1" thickBot="1" x14ac:dyDescent="0.25">
      <c r="A30" s="824" t="s">
        <v>534</v>
      </c>
      <c r="B30" s="91">
        <v>12983329</v>
      </c>
      <c r="C30" s="91">
        <v>2272086</v>
      </c>
      <c r="D30" s="126">
        <v>35701996</v>
      </c>
      <c r="E30" s="126"/>
      <c r="F30" s="91"/>
      <c r="G30" s="91"/>
      <c r="H30" s="91">
        <v>3590464</v>
      </c>
      <c r="I30" s="126">
        <v>3590464</v>
      </c>
      <c r="J30" s="126"/>
      <c r="K30" s="91"/>
      <c r="L30" s="209">
        <f t="shared" si="0"/>
        <v>58138339</v>
      </c>
      <c r="N30" s="931"/>
      <c r="O30" s="932"/>
    </row>
    <row r="31" spans="1:15" ht="21" customHeight="1" thickBot="1" x14ac:dyDescent="0.25">
      <c r="A31" s="274" t="s">
        <v>186</v>
      </c>
      <c r="B31" s="91"/>
      <c r="C31" s="91"/>
      <c r="D31" s="126">
        <v>4802000</v>
      </c>
      <c r="E31" s="126"/>
      <c r="F31" s="91"/>
      <c r="G31" s="91"/>
      <c r="H31" s="91"/>
      <c r="I31" s="126"/>
      <c r="J31" s="91"/>
      <c r="K31" s="91">
        <v>15274965</v>
      </c>
      <c r="L31" s="209">
        <f t="shared" si="0"/>
        <v>20076965</v>
      </c>
    </row>
    <row r="32" spans="1:15" ht="21" customHeight="1" thickBot="1" x14ac:dyDescent="0.25">
      <c r="A32" s="131" t="s">
        <v>30</v>
      </c>
      <c r="B32" s="138">
        <f t="shared" ref="B32:K32" si="1">SUM(B8:B31)</f>
        <v>99409666</v>
      </c>
      <c r="C32" s="138">
        <f t="shared" si="1"/>
        <v>12374312</v>
      </c>
      <c r="D32" s="138">
        <f t="shared" si="1"/>
        <v>378256241</v>
      </c>
      <c r="E32" s="138">
        <f t="shared" si="1"/>
        <v>6542600</v>
      </c>
      <c r="F32" s="138">
        <f t="shared" si="1"/>
        <v>120640092</v>
      </c>
      <c r="G32" s="138">
        <f t="shared" si="1"/>
        <v>15000000</v>
      </c>
      <c r="H32" s="138">
        <f t="shared" si="1"/>
        <v>1432695093</v>
      </c>
      <c r="I32" s="138">
        <f t="shared" si="1"/>
        <v>15903476</v>
      </c>
      <c r="J32" s="138">
        <f t="shared" si="1"/>
        <v>0</v>
      </c>
      <c r="K32" s="138">
        <f t="shared" si="1"/>
        <v>25628801</v>
      </c>
      <c r="L32" s="209">
        <f t="shared" si="0"/>
        <v>2106450281</v>
      </c>
    </row>
  </sheetData>
  <mergeCells count="7">
    <mergeCell ref="N27:O27"/>
    <mergeCell ref="N30:O30"/>
    <mergeCell ref="A2:L2"/>
    <mergeCell ref="A6:A7"/>
    <mergeCell ref="N8:O8"/>
    <mergeCell ref="N12:O12"/>
    <mergeCell ref="N21:O21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&amp;R3.1. sz. melléklet
..../ 2018. (....)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7"/>
  <sheetViews>
    <sheetView topLeftCell="B1" zoomScaleNormal="100" workbookViewId="0">
      <selection activeCell="H25" sqref="H25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928" t="s">
        <v>594</v>
      </c>
      <c r="B2" s="929"/>
      <c r="C2" s="929"/>
      <c r="D2" s="929"/>
      <c r="E2" s="929"/>
      <c r="F2" s="929"/>
      <c r="G2" s="929"/>
      <c r="H2" s="929"/>
      <c r="I2" s="930"/>
      <c r="J2" s="930"/>
      <c r="K2" s="930"/>
      <c r="L2" s="930"/>
    </row>
    <row r="3" spans="1:12" x14ac:dyDescent="0.2">
      <c r="L3" s="280"/>
    </row>
    <row r="4" spans="1:12" x14ac:dyDescent="0.2">
      <c r="E4" s="2"/>
      <c r="J4" s="127"/>
      <c r="L4" s="3"/>
    </row>
    <row r="5" spans="1:12" ht="13.5" thickBot="1" x14ac:dyDescent="0.25"/>
    <row r="6" spans="1:12" ht="102" customHeight="1" thickBot="1" x14ac:dyDescent="0.25">
      <c r="A6" s="879" t="s">
        <v>180</v>
      </c>
      <c r="B6" s="156" t="s">
        <v>200</v>
      </c>
      <c r="C6" s="156" t="s">
        <v>211</v>
      </c>
      <c r="D6" s="156" t="s">
        <v>202</v>
      </c>
      <c r="E6" s="156" t="s">
        <v>212</v>
      </c>
      <c r="F6" s="156" t="s">
        <v>208</v>
      </c>
      <c r="G6" s="156" t="s">
        <v>412</v>
      </c>
      <c r="H6" s="156" t="s">
        <v>204</v>
      </c>
      <c r="I6" s="156" t="s">
        <v>205</v>
      </c>
      <c r="J6" s="156" t="s">
        <v>206</v>
      </c>
      <c r="K6" s="156" t="s">
        <v>214</v>
      </c>
      <c r="L6" s="157" t="s">
        <v>41</v>
      </c>
    </row>
    <row r="7" spans="1:12" ht="21" customHeight="1" thickBot="1" x14ac:dyDescent="0.25">
      <c r="A7" s="880"/>
      <c r="B7" s="35" t="s">
        <v>488</v>
      </c>
      <c r="C7" s="35" t="s">
        <v>488</v>
      </c>
      <c r="D7" s="35" t="s">
        <v>488</v>
      </c>
      <c r="E7" s="35" t="s">
        <v>488</v>
      </c>
      <c r="F7" s="35" t="s">
        <v>488</v>
      </c>
      <c r="G7" s="35" t="s">
        <v>488</v>
      </c>
      <c r="H7" s="35" t="s">
        <v>488</v>
      </c>
      <c r="I7" s="35" t="s">
        <v>488</v>
      </c>
      <c r="J7" s="35" t="s">
        <v>488</v>
      </c>
      <c r="K7" s="35" t="s">
        <v>488</v>
      </c>
      <c r="L7" s="35" t="s">
        <v>488</v>
      </c>
    </row>
    <row r="8" spans="1:12" ht="21" customHeight="1" thickBot="1" x14ac:dyDescent="0.25">
      <c r="A8" s="277" t="s">
        <v>222</v>
      </c>
      <c r="B8" s="860"/>
      <c r="C8" s="35"/>
      <c r="D8" s="861">
        <v>869000</v>
      </c>
      <c r="E8" s="35"/>
      <c r="F8" s="35"/>
      <c r="G8" s="35"/>
      <c r="H8" s="35"/>
      <c r="I8" s="35"/>
      <c r="J8" s="35"/>
      <c r="K8" s="35"/>
      <c r="L8" s="209">
        <f t="shared" ref="L8:L16" si="0">SUM(B8:K8)</f>
        <v>869000</v>
      </c>
    </row>
    <row r="9" spans="1:12" ht="31.5" customHeight="1" thickBot="1" x14ac:dyDescent="0.25">
      <c r="A9" s="849" t="s">
        <v>410</v>
      </c>
      <c r="B9" s="850"/>
      <c r="C9" s="126"/>
      <c r="D9" s="126"/>
      <c r="E9" s="126"/>
      <c r="F9" s="126">
        <v>10359000</v>
      </c>
      <c r="G9" s="126"/>
      <c r="H9" s="126"/>
      <c r="I9" s="126"/>
      <c r="J9" s="126"/>
      <c r="K9" s="126"/>
      <c r="L9" s="209">
        <f t="shared" si="0"/>
        <v>10359000</v>
      </c>
    </row>
    <row r="10" spans="1:12" s="137" customFormat="1" ht="21" customHeight="1" thickBot="1" x14ac:dyDescent="0.25">
      <c r="A10" s="851" t="s">
        <v>183</v>
      </c>
      <c r="B10" s="126">
        <v>2740200</v>
      </c>
      <c r="C10" s="126">
        <v>480000</v>
      </c>
      <c r="D10" s="126"/>
      <c r="E10" s="126"/>
      <c r="F10" s="126"/>
      <c r="G10" s="126"/>
      <c r="H10" s="126"/>
      <c r="I10" s="126"/>
      <c r="J10" s="126"/>
      <c r="K10" s="126"/>
      <c r="L10" s="209">
        <f t="shared" si="0"/>
        <v>3220200</v>
      </c>
    </row>
    <row r="11" spans="1:12" ht="21" customHeight="1" thickBot="1" x14ac:dyDescent="0.25">
      <c r="A11" s="851" t="s">
        <v>220</v>
      </c>
      <c r="B11" s="126"/>
      <c r="C11" s="126"/>
      <c r="D11" s="126">
        <v>3570400</v>
      </c>
      <c r="E11" s="126"/>
      <c r="F11" s="126"/>
      <c r="G11" s="126"/>
      <c r="H11" s="126"/>
      <c r="I11" s="126"/>
      <c r="J11" s="126"/>
      <c r="K11" s="126"/>
      <c r="L11" s="209">
        <f t="shared" si="0"/>
        <v>3570400</v>
      </c>
    </row>
    <row r="12" spans="1:12" ht="21" customHeight="1" thickBot="1" x14ac:dyDescent="0.25">
      <c r="A12" s="851" t="s">
        <v>215</v>
      </c>
      <c r="B12" s="126"/>
      <c r="C12" s="126"/>
      <c r="D12" s="126">
        <v>800000</v>
      </c>
      <c r="E12" s="126"/>
      <c r="F12" s="126"/>
      <c r="G12" s="126"/>
      <c r="H12" s="126"/>
      <c r="I12" s="126"/>
      <c r="J12" s="126"/>
      <c r="K12" s="126"/>
      <c r="L12" s="209">
        <f t="shared" si="0"/>
        <v>800000</v>
      </c>
    </row>
    <row r="13" spans="1:12" ht="21" customHeight="1" thickBot="1" x14ac:dyDescent="0.25">
      <c r="A13" s="277" t="s">
        <v>386</v>
      </c>
      <c r="B13" s="91"/>
      <c r="C13" s="91"/>
      <c r="D13" s="126"/>
      <c r="E13" s="126"/>
      <c r="F13" s="91">
        <v>4308000</v>
      </c>
      <c r="G13" s="91"/>
      <c r="H13" s="91"/>
      <c r="I13" s="126"/>
      <c r="J13" s="126"/>
      <c r="K13" s="91"/>
      <c r="L13" s="209">
        <f t="shared" si="0"/>
        <v>4308000</v>
      </c>
    </row>
    <row r="14" spans="1:12" ht="21" customHeight="1" thickBot="1" x14ac:dyDescent="0.25">
      <c r="A14" s="852" t="s">
        <v>310</v>
      </c>
      <c r="B14" s="126"/>
      <c r="C14" s="126"/>
      <c r="D14" s="126"/>
      <c r="E14" s="126">
        <v>1692400</v>
      </c>
      <c r="F14" s="126"/>
      <c r="G14" s="126"/>
      <c r="H14" s="126"/>
      <c r="I14" s="126"/>
      <c r="J14" s="126"/>
      <c r="K14" s="126"/>
      <c r="L14" s="209">
        <f t="shared" si="0"/>
        <v>1692400</v>
      </c>
    </row>
    <row r="15" spans="1:12" ht="21" customHeight="1" thickBot="1" x14ac:dyDescent="0.25">
      <c r="A15" s="852" t="s">
        <v>187</v>
      </c>
      <c r="B15" s="126">
        <v>3793700</v>
      </c>
      <c r="C15" s="126">
        <v>620100</v>
      </c>
      <c r="D15" s="126">
        <v>1506500</v>
      </c>
      <c r="E15" s="126"/>
      <c r="F15" s="126"/>
      <c r="G15" s="126"/>
      <c r="H15" s="126"/>
      <c r="I15" s="853"/>
      <c r="J15" s="853"/>
      <c r="K15" s="126"/>
      <c r="L15" s="209">
        <f t="shared" si="0"/>
        <v>5920300</v>
      </c>
    </row>
    <row r="16" spans="1:12" ht="21" customHeight="1" thickBot="1" x14ac:dyDescent="0.25">
      <c r="A16" s="852" t="s">
        <v>221</v>
      </c>
      <c r="B16" s="126"/>
      <c r="C16" s="126"/>
      <c r="D16" s="126">
        <v>150000</v>
      </c>
      <c r="E16" s="126">
        <v>5770000</v>
      </c>
      <c r="F16" s="126">
        <v>400000</v>
      </c>
      <c r="G16" s="126"/>
      <c r="H16" s="126"/>
      <c r="I16" s="126"/>
      <c r="J16" s="126"/>
      <c r="K16" s="126"/>
      <c r="L16" s="209">
        <f t="shared" si="0"/>
        <v>6320000</v>
      </c>
    </row>
    <row r="17" spans="1:12" ht="21" customHeight="1" thickBot="1" x14ac:dyDescent="0.25">
      <c r="A17" s="131" t="s">
        <v>30</v>
      </c>
      <c r="B17" s="138">
        <f t="shared" ref="B17:K17" si="1">SUM(B9:B16)</f>
        <v>6533900</v>
      </c>
      <c r="C17" s="138">
        <f t="shared" si="1"/>
        <v>1100100</v>
      </c>
      <c r="D17" s="138">
        <f t="shared" si="1"/>
        <v>6026900</v>
      </c>
      <c r="E17" s="138">
        <f t="shared" si="1"/>
        <v>7462400</v>
      </c>
      <c r="F17" s="138">
        <f t="shared" si="1"/>
        <v>15067000</v>
      </c>
      <c r="G17" s="138">
        <f t="shared" si="1"/>
        <v>0</v>
      </c>
      <c r="H17" s="138">
        <f t="shared" si="1"/>
        <v>0</v>
      </c>
      <c r="I17" s="138">
        <f t="shared" si="1"/>
        <v>0</v>
      </c>
      <c r="J17" s="138">
        <f t="shared" si="1"/>
        <v>0</v>
      </c>
      <c r="K17" s="138">
        <f t="shared" si="1"/>
        <v>0</v>
      </c>
      <c r="L17" s="209">
        <f>SUM(L8:L16)</f>
        <v>37059300</v>
      </c>
    </row>
  </sheetData>
  <mergeCells count="2">
    <mergeCell ref="A2:L2"/>
    <mergeCell ref="A6:A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3:L34"/>
  <sheetViews>
    <sheetView zoomScaleNormal="100" workbookViewId="0">
      <selection activeCell="D19" sqref="D19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928"/>
      <c r="B3" s="929"/>
      <c r="C3" s="929"/>
      <c r="D3" s="929"/>
      <c r="E3" s="929"/>
      <c r="F3" s="929"/>
      <c r="G3" s="929"/>
      <c r="H3" s="929"/>
      <c r="I3" s="930"/>
    </row>
    <row r="5" spans="1:12" ht="12.75" customHeight="1" x14ac:dyDescent="0.2">
      <c r="A5" s="937" t="s">
        <v>512</v>
      </c>
      <c r="B5" s="937"/>
      <c r="C5" s="937"/>
      <c r="D5" s="937"/>
      <c r="E5" s="937"/>
      <c r="F5" s="937"/>
      <c r="G5" s="937"/>
      <c r="H5" s="937"/>
      <c r="I5" s="937"/>
      <c r="J5" s="937"/>
      <c r="K5" s="937"/>
      <c r="L5" s="937"/>
    </row>
    <row r="6" spans="1:12" ht="12.75" customHeight="1" x14ac:dyDescent="0.2">
      <c r="A6" s="937"/>
      <c r="B6" s="937"/>
      <c r="C6" s="937"/>
      <c r="D6" s="937"/>
      <c r="E6" s="937"/>
      <c r="F6" s="937"/>
      <c r="G6" s="937"/>
      <c r="H6" s="937"/>
      <c r="I6" s="937"/>
      <c r="J6" s="937"/>
      <c r="K6" s="937"/>
      <c r="L6" s="937"/>
    </row>
    <row r="7" spans="1:12" ht="13.5" thickBot="1" x14ac:dyDescent="0.25">
      <c r="I7" s="280"/>
    </row>
    <row r="8" spans="1:12" ht="102" customHeight="1" thickBot="1" x14ac:dyDescent="0.25">
      <c r="A8" s="935" t="s">
        <v>180</v>
      </c>
      <c r="B8" s="620" t="s">
        <v>200</v>
      </c>
      <c r="C8" s="278" t="s">
        <v>211</v>
      </c>
      <c r="D8" s="278" t="s">
        <v>202</v>
      </c>
      <c r="E8" s="278" t="s">
        <v>212</v>
      </c>
      <c r="F8" s="278" t="s">
        <v>208</v>
      </c>
      <c r="G8" s="278" t="s">
        <v>213</v>
      </c>
      <c r="H8" s="278" t="s">
        <v>204</v>
      </c>
      <c r="I8" s="278" t="s">
        <v>205</v>
      </c>
      <c r="J8" s="278" t="s">
        <v>206</v>
      </c>
      <c r="K8" s="278" t="s">
        <v>214</v>
      </c>
      <c r="L8" s="279" t="s">
        <v>41</v>
      </c>
    </row>
    <row r="9" spans="1:12" ht="21" customHeight="1" thickBot="1" x14ac:dyDescent="0.25">
      <c r="A9" s="936"/>
      <c r="B9" s="35" t="s">
        <v>488</v>
      </c>
      <c r="C9" s="35" t="s">
        <v>488</v>
      </c>
      <c r="D9" s="35" t="s">
        <v>488</v>
      </c>
      <c r="E9" s="35" t="s">
        <v>488</v>
      </c>
      <c r="F9" s="35" t="s">
        <v>488</v>
      </c>
      <c r="G9" s="35" t="s">
        <v>488</v>
      </c>
      <c r="H9" s="35" t="s">
        <v>488</v>
      </c>
      <c r="I9" s="35" t="s">
        <v>488</v>
      </c>
      <c r="J9" s="35" t="s">
        <v>488</v>
      </c>
      <c r="K9" s="35" t="s">
        <v>488</v>
      </c>
      <c r="L9" s="35" t="s">
        <v>488</v>
      </c>
    </row>
    <row r="10" spans="1:12" ht="40.5" customHeight="1" x14ac:dyDescent="0.2">
      <c r="A10" s="621" t="s">
        <v>190</v>
      </c>
      <c r="B10" s="596">
        <v>88291037</v>
      </c>
      <c r="C10" s="596">
        <v>16193700</v>
      </c>
      <c r="D10" s="614">
        <v>18965000</v>
      </c>
      <c r="E10" s="596"/>
      <c r="F10" s="615"/>
      <c r="G10" s="615"/>
      <c r="H10" s="615">
        <v>2602000</v>
      </c>
      <c r="I10" s="616"/>
      <c r="J10" s="617"/>
      <c r="K10" s="618"/>
      <c r="L10" s="619">
        <f>SUM(B10:K10)</f>
        <v>126051737</v>
      </c>
    </row>
    <row r="11" spans="1:12" ht="21" customHeight="1" thickBot="1" x14ac:dyDescent="0.25">
      <c r="A11" s="622" t="s">
        <v>191</v>
      </c>
      <c r="B11" s="594">
        <v>9133136</v>
      </c>
      <c r="C11" s="594">
        <v>1712400</v>
      </c>
      <c r="D11" s="623"/>
      <c r="E11" s="594"/>
      <c r="F11" s="594"/>
      <c r="G11" s="594"/>
      <c r="H11" s="594"/>
      <c r="I11" s="624"/>
      <c r="J11" s="625"/>
      <c r="K11" s="626"/>
      <c r="L11" s="619">
        <f>SUM(B11:K11)</f>
        <v>10845536</v>
      </c>
    </row>
    <row r="12" spans="1:12" s="97" customFormat="1" ht="21" customHeight="1" thickBot="1" x14ac:dyDescent="0.25">
      <c r="A12" s="627" t="s">
        <v>30</v>
      </c>
      <c r="B12" s="628">
        <f t="shared" ref="B12:K12" si="0">SUM(B10:B11)</f>
        <v>97424173</v>
      </c>
      <c r="C12" s="628">
        <f t="shared" si="0"/>
        <v>17906100</v>
      </c>
      <c r="D12" s="628">
        <f t="shared" si="0"/>
        <v>18965000</v>
      </c>
      <c r="E12" s="629">
        <f t="shared" si="0"/>
        <v>0</v>
      </c>
      <c r="F12" s="629">
        <f t="shared" si="0"/>
        <v>0</v>
      </c>
      <c r="G12" s="629">
        <f t="shared" si="0"/>
        <v>0</v>
      </c>
      <c r="H12" s="629">
        <f t="shared" si="0"/>
        <v>2602000</v>
      </c>
      <c r="I12" s="630">
        <f t="shared" si="0"/>
        <v>0</v>
      </c>
      <c r="J12" s="631">
        <f t="shared" si="0"/>
        <v>0</v>
      </c>
      <c r="K12" s="632">
        <f t="shared" si="0"/>
        <v>0</v>
      </c>
      <c r="L12" s="612">
        <f>SUM(B12:K12)</f>
        <v>136897273</v>
      </c>
    </row>
    <row r="14" spans="1:12" x14ac:dyDescent="0.2">
      <c r="I14" s="2"/>
    </row>
    <row r="16" spans="1:12" x14ac:dyDescent="0.2">
      <c r="A16" s="36"/>
      <c r="B16" s="37"/>
      <c r="C16" s="37"/>
      <c r="D16" s="37" t="s">
        <v>150</v>
      </c>
      <c r="E16" s="37"/>
      <c r="F16" s="38"/>
      <c r="G16" s="38"/>
      <c r="H16" s="38"/>
    </row>
    <row r="17" spans="1:8" x14ac:dyDescent="0.2">
      <c r="A17" s="39"/>
      <c r="B17" s="40"/>
      <c r="C17" s="40"/>
      <c r="D17" s="40"/>
      <c r="E17" s="40"/>
      <c r="F17" s="40"/>
      <c r="G17" s="40"/>
      <c r="H17" s="40"/>
    </row>
    <row r="18" spans="1:8" x14ac:dyDescent="0.2">
      <c r="A18" s="41"/>
      <c r="B18" s="121"/>
      <c r="C18" s="121"/>
      <c r="D18" s="121"/>
      <c r="E18" s="121"/>
      <c r="F18" s="17"/>
      <c r="G18" s="17"/>
      <c r="H18" s="17"/>
    </row>
    <row r="19" spans="1:8" x14ac:dyDescent="0.2">
      <c r="A19" s="41"/>
      <c r="B19" s="121"/>
      <c r="C19" s="121"/>
      <c r="D19" s="122"/>
      <c r="E19" s="121"/>
      <c r="F19" s="17"/>
      <c r="G19" s="17"/>
      <c r="H19" s="17"/>
    </row>
    <row r="20" spans="1:8" x14ac:dyDescent="0.2">
      <c r="A20" s="41"/>
      <c r="B20" s="121"/>
      <c r="C20" s="121"/>
      <c r="D20" s="121"/>
      <c r="E20" s="121"/>
      <c r="F20" s="17"/>
      <c r="G20" s="17"/>
      <c r="H20" s="17"/>
    </row>
    <row r="21" spans="1:8" x14ac:dyDescent="0.2">
      <c r="A21" s="41"/>
      <c r="B21" s="121"/>
      <c r="C21" s="121"/>
      <c r="D21" s="121"/>
      <c r="E21" s="121"/>
      <c r="F21" s="17"/>
      <c r="G21" s="17"/>
      <c r="H21" s="17"/>
    </row>
    <row r="22" spans="1:8" x14ac:dyDescent="0.2">
      <c r="A22" s="41"/>
      <c r="B22" s="121"/>
      <c r="C22" s="121"/>
      <c r="D22" s="121"/>
      <c r="E22" s="121"/>
      <c r="F22" s="17"/>
      <c r="G22" s="17"/>
      <c r="H22" s="17"/>
    </row>
    <row r="23" spans="1:8" x14ac:dyDescent="0.2">
      <c r="A23" s="41"/>
      <c r="B23" s="121"/>
      <c r="C23" s="121"/>
      <c r="D23" s="121"/>
      <c r="E23" s="121"/>
      <c r="F23" s="17"/>
      <c r="G23" s="17"/>
      <c r="H23" s="17"/>
    </row>
    <row r="24" spans="1:8" x14ac:dyDescent="0.2">
      <c r="A24" s="41"/>
      <c r="B24" s="121"/>
      <c r="C24" s="121"/>
      <c r="D24" s="121"/>
      <c r="E24" s="121"/>
      <c r="F24" s="17"/>
      <c r="G24" s="17"/>
      <c r="H24" s="17"/>
    </row>
    <row r="25" spans="1:8" x14ac:dyDescent="0.2">
      <c r="A25" s="41"/>
      <c r="B25" s="121"/>
      <c r="C25" s="121"/>
      <c r="D25" s="121"/>
      <c r="E25" s="121"/>
      <c r="F25" s="17"/>
      <c r="G25" s="17"/>
      <c r="H25" s="17"/>
    </row>
    <row r="26" spans="1:8" x14ac:dyDescent="0.2">
      <c r="A26" s="41"/>
      <c r="B26" s="121"/>
      <c r="C26" s="121"/>
      <c r="D26" s="121"/>
      <c r="E26" s="121"/>
      <c r="F26" s="17"/>
      <c r="G26" s="17"/>
      <c r="H26" s="17"/>
    </row>
    <row r="27" spans="1:8" x14ac:dyDescent="0.2">
      <c r="A27" s="41"/>
      <c r="B27" s="121"/>
      <c r="C27" s="121"/>
      <c r="D27" s="121"/>
      <c r="E27" s="121"/>
      <c r="F27" s="17"/>
      <c r="G27" s="17"/>
      <c r="H27" s="17"/>
    </row>
    <row r="28" spans="1:8" x14ac:dyDescent="0.2">
      <c r="A28" s="41"/>
      <c r="B28" s="121"/>
      <c r="C28" s="121"/>
      <c r="D28" s="121"/>
      <c r="E28" s="121"/>
      <c r="F28" s="17"/>
      <c r="G28" s="17"/>
      <c r="H28" s="17"/>
    </row>
    <row r="29" spans="1:8" x14ac:dyDescent="0.2">
      <c r="A29" s="41"/>
      <c r="B29" s="121"/>
      <c r="C29" s="121"/>
      <c r="D29" s="121"/>
      <c r="E29" s="121"/>
      <c r="F29" s="17"/>
      <c r="G29" s="17"/>
      <c r="H29" s="17"/>
    </row>
    <row r="30" spans="1:8" x14ac:dyDescent="0.2">
      <c r="A30" s="41"/>
      <c r="B30" s="121"/>
      <c r="C30" s="121"/>
      <c r="D30" s="121"/>
      <c r="E30" s="121"/>
      <c r="F30" s="17"/>
      <c r="G30" s="17"/>
      <c r="H30" s="17"/>
    </row>
    <row r="31" spans="1:8" x14ac:dyDescent="0.2">
      <c r="A31" s="41"/>
      <c r="B31" s="121"/>
      <c r="C31" s="121"/>
      <c r="D31" s="121"/>
      <c r="E31" s="121"/>
      <c r="F31" s="17"/>
      <c r="G31" s="17"/>
      <c r="H31" s="17"/>
    </row>
    <row r="32" spans="1:8" x14ac:dyDescent="0.2">
      <c r="A32" s="39"/>
      <c r="B32" s="123"/>
      <c r="C32" s="123"/>
      <c r="D32" s="123"/>
      <c r="E32" s="123"/>
      <c r="F32" s="17"/>
      <c r="G32" s="17"/>
      <c r="H32" s="17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8:A9"/>
    <mergeCell ref="A5:L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&amp;R3.2. sz. melléklet
.../2018. (...)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4"/>
  <sheetViews>
    <sheetView zoomScaleNormal="100" workbookViewId="0">
      <selection activeCell="A21" sqref="A21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2" max="12" width="16.5703125" customWidth="1"/>
  </cols>
  <sheetData>
    <row r="3" spans="1:12" ht="15.75" x14ac:dyDescent="0.25">
      <c r="A3" s="928"/>
      <c r="B3" s="929"/>
      <c r="C3" s="929"/>
      <c r="D3" s="929"/>
      <c r="E3" s="929"/>
      <c r="F3" s="929"/>
      <c r="G3" s="929"/>
      <c r="H3" s="929"/>
      <c r="I3" s="930"/>
    </row>
    <row r="5" spans="1:12" ht="12.75" customHeight="1" x14ac:dyDescent="0.2">
      <c r="A5" s="937" t="s">
        <v>511</v>
      </c>
      <c r="B5" s="937"/>
      <c r="C5" s="937"/>
      <c r="D5" s="937"/>
      <c r="E5" s="937"/>
      <c r="F5" s="937"/>
      <c r="G5" s="937"/>
      <c r="H5" s="937"/>
      <c r="I5" s="937"/>
      <c r="J5" s="937"/>
      <c r="K5" s="937"/>
      <c r="L5" s="937"/>
    </row>
    <row r="6" spans="1:12" ht="12.75" customHeight="1" x14ac:dyDescent="0.2">
      <c r="A6" s="937"/>
      <c r="B6" s="937"/>
      <c r="C6" s="937"/>
      <c r="D6" s="937"/>
      <c r="E6" s="937"/>
      <c r="F6" s="937"/>
      <c r="G6" s="937"/>
      <c r="H6" s="937"/>
      <c r="I6" s="937"/>
      <c r="J6" s="937"/>
      <c r="K6" s="937"/>
      <c r="L6" s="937"/>
    </row>
    <row r="7" spans="1:12" ht="13.5" thickBot="1" x14ac:dyDescent="0.25">
      <c r="I7" s="280"/>
    </row>
    <row r="8" spans="1:12" ht="102" customHeight="1" thickBot="1" x14ac:dyDescent="0.25">
      <c r="A8" s="935" t="s">
        <v>180</v>
      </c>
      <c r="B8" s="620" t="s">
        <v>200</v>
      </c>
      <c r="C8" s="278" t="s">
        <v>211</v>
      </c>
      <c r="D8" s="278" t="s">
        <v>202</v>
      </c>
      <c r="E8" s="278" t="s">
        <v>212</v>
      </c>
      <c r="F8" s="278" t="s">
        <v>208</v>
      </c>
      <c r="G8" s="278" t="s">
        <v>213</v>
      </c>
      <c r="H8" s="278" t="s">
        <v>204</v>
      </c>
      <c r="I8" s="278" t="s">
        <v>205</v>
      </c>
      <c r="J8" s="278" t="s">
        <v>206</v>
      </c>
      <c r="K8" s="278" t="s">
        <v>214</v>
      </c>
      <c r="L8" s="279" t="s">
        <v>41</v>
      </c>
    </row>
    <row r="9" spans="1:12" ht="21" customHeight="1" thickBot="1" x14ac:dyDescent="0.25">
      <c r="A9" s="936"/>
      <c r="B9" s="35" t="s">
        <v>488</v>
      </c>
      <c r="C9" s="35" t="s">
        <v>488</v>
      </c>
      <c r="D9" s="35" t="s">
        <v>488</v>
      </c>
      <c r="E9" s="35" t="s">
        <v>488</v>
      </c>
      <c r="F9" s="35" t="s">
        <v>488</v>
      </c>
      <c r="G9" s="35" t="s">
        <v>488</v>
      </c>
      <c r="H9" s="35" t="s">
        <v>488</v>
      </c>
      <c r="I9" s="35" t="s">
        <v>488</v>
      </c>
      <c r="J9" s="35" t="s">
        <v>488</v>
      </c>
      <c r="K9" s="35" t="s">
        <v>488</v>
      </c>
      <c r="L9" s="35" t="s">
        <v>488</v>
      </c>
    </row>
    <row r="10" spans="1:12" ht="40.5" customHeight="1" x14ac:dyDescent="0.2">
      <c r="A10" s="621" t="s">
        <v>190</v>
      </c>
      <c r="B10" s="596">
        <v>88291037</v>
      </c>
      <c r="C10" s="596">
        <v>16193700</v>
      </c>
      <c r="D10" s="614">
        <v>18965000</v>
      </c>
      <c r="E10" s="596"/>
      <c r="F10" s="615"/>
      <c r="G10" s="615"/>
      <c r="H10" s="615">
        <v>2602000</v>
      </c>
      <c r="I10" s="616"/>
      <c r="J10" s="617"/>
      <c r="K10" s="618"/>
      <c r="L10" s="619">
        <f>SUM(B10:K10)</f>
        <v>126051737</v>
      </c>
    </row>
    <row r="11" spans="1:12" ht="21" customHeight="1" thickBot="1" x14ac:dyDescent="0.25">
      <c r="A11" s="622" t="s">
        <v>191</v>
      </c>
      <c r="B11" s="594">
        <v>9133136</v>
      </c>
      <c r="C11" s="594">
        <v>1712400</v>
      </c>
      <c r="D11" s="623"/>
      <c r="E11" s="594"/>
      <c r="F11" s="594"/>
      <c r="G11" s="594"/>
      <c r="H11" s="594"/>
      <c r="I11" s="624"/>
      <c r="J11" s="625"/>
      <c r="K11" s="626"/>
      <c r="L11" s="619">
        <f>SUM(B11:K11)</f>
        <v>10845536</v>
      </c>
    </row>
    <row r="12" spans="1:12" s="97" customFormat="1" ht="21" customHeight="1" thickBot="1" x14ac:dyDescent="0.25">
      <c r="A12" s="627" t="s">
        <v>30</v>
      </c>
      <c r="B12" s="628">
        <f t="shared" ref="B12:K12" si="0">SUM(B10:B11)</f>
        <v>97424173</v>
      </c>
      <c r="C12" s="628">
        <f t="shared" si="0"/>
        <v>17906100</v>
      </c>
      <c r="D12" s="628">
        <f t="shared" si="0"/>
        <v>18965000</v>
      </c>
      <c r="E12" s="629">
        <f t="shared" si="0"/>
        <v>0</v>
      </c>
      <c r="F12" s="629">
        <f t="shared" si="0"/>
        <v>0</v>
      </c>
      <c r="G12" s="629">
        <f t="shared" si="0"/>
        <v>0</v>
      </c>
      <c r="H12" s="629">
        <f t="shared" si="0"/>
        <v>2602000</v>
      </c>
      <c r="I12" s="630">
        <f t="shared" si="0"/>
        <v>0</v>
      </c>
      <c r="J12" s="631">
        <f t="shared" si="0"/>
        <v>0</v>
      </c>
      <c r="K12" s="632">
        <f t="shared" si="0"/>
        <v>0</v>
      </c>
      <c r="L12" s="612">
        <f>SUM(B12:K12)</f>
        <v>136897273</v>
      </c>
    </row>
    <row r="14" spans="1:12" x14ac:dyDescent="0.2">
      <c r="I14" s="2"/>
    </row>
    <row r="15" spans="1:12" x14ac:dyDescent="0.2">
      <c r="B15" s="127"/>
    </row>
    <row r="16" spans="1:12" x14ac:dyDescent="0.2">
      <c r="A16" s="36"/>
      <c r="B16" s="37"/>
      <c r="C16" s="37"/>
      <c r="D16" s="37" t="s">
        <v>150</v>
      </c>
      <c r="E16" s="37"/>
      <c r="F16" s="38"/>
      <c r="G16" s="38"/>
      <c r="H16" s="38"/>
    </row>
    <row r="17" spans="1:8" x14ac:dyDescent="0.2">
      <c r="A17" s="39"/>
      <c r="B17" s="40"/>
      <c r="C17" s="40"/>
      <c r="D17" s="40"/>
      <c r="E17" s="40"/>
      <c r="F17" s="40"/>
      <c r="G17" s="40"/>
      <c r="H17" s="40"/>
    </row>
    <row r="18" spans="1:8" x14ac:dyDescent="0.2">
      <c r="A18" s="41"/>
      <c r="B18" s="121"/>
      <c r="C18" s="121"/>
      <c r="D18" s="121"/>
      <c r="E18" s="121"/>
      <c r="F18" s="17"/>
      <c r="G18" s="17"/>
      <c r="H18" s="17"/>
    </row>
    <row r="19" spans="1:8" x14ac:dyDescent="0.2">
      <c r="A19" s="41"/>
      <c r="B19" s="121"/>
      <c r="C19" s="121"/>
      <c r="D19" s="122"/>
      <c r="E19" s="121"/>
      <c r="F19" s="17"/>
      <c r="G19" s="17"/>
      <c r="H19" s="17"/>
    </row>
    <row r="20" spans="1:8" x14ac:dyDescent="0.2">
      <c r="A20" s="41"/>
      <c r="B20" s="121"/>
      <c r="C20" s="121"/>
      <c r="D20" s="121"/>
      <c r="E20" s="121"/>
      <c r="F20" s="17"/>
      <c r="G20" s="17"/>
      <c r="H20" s="17"/>
    </row>
    <row r="21" spans="1:8" x14ac:dyDescent="0.2">
      <c r="A21" s="41"/>
      <c r="B21" s="121"/>
      <c r="C21" s="121"/>
      <c r="D21" s="121"/>
      <c r="E21" s="121"/>
      <c r="F21" s="17"/>
      <c r="G21" s="17"/>
      <c r="H21" s="17"/>
    </row>
    <row r="22" spans="1:8" x14ac:dyDescent="0.2">
      <c r="A22" s="41"/>
      <c r="B22" s="121"/>
      <c r="C22" s="121"/>
      <c r="D22" s="121"/>
      <c r="E22" s="121"/>
      <c r="F22" s="17"/>
      <c r="G22" s="17"/>
      <c r="H22" s="17"/>
    </row>
    <row r="23" spans="1:8" x14ac:dyDescent="0.2">
      <c r="A23" s="41"/>
      <c r="B23" s="121"/>
      <c r="C23" s="121"/>
      <c r="D23" s="121"/>
      <c r="E23" s="121"/>
      <c r="F23" s="17"/>
      <c r="G23" s="17"/>
      <c r="H23" s="17"/>
    </row>
    <row r="24" spans="1:8" x14ac:dyDescent="0.2">
      <c r="A24" s="41"/>
      <c r="B24" s="121"/>
      <c r="C24" s="121"/>
      <c r="D24" s="121"/>
      <c r="E24" s="121"/>
      <c r="F24" s="17"/>
      <c r="G24" s="17"/>
      <c r="H24" s="17"/>
    </row>
    <row r="25" spans="1:8" x14ac:dyDescent="0.2">
      <c r="A25" s="41"/>
      <c r="B25" s="121"/>
      <c r="C25" s="121"/>
      <c r="D25" s="121"/>
      <c r="E25" s="121"/>
      <c r="F25" s="17"/>
      <c r="G25" s="17"/>
      <c r="H25" s="17"/>
    </row>
    <row r="26" spans="1:8" x14ac:dyDescent="0.2">
      <c r="A26" s="41"/>
      <c r="B26" s="121"/>
      <c r="C26" s="121"/>
      <c r="D26" s="121"/>
      <c r="E26" s="121"/>
      <c r="F26" s="17"/>
      <c r="G26" s="17"/>
      <c r="H26" s="17"/>
    </row>
    <row r="27" spans="1:8" x14ac:dyDescent="0.2">
      <c r="A27" s="41"/>
      <c r="B27" s="121"/>
      <c r="C27" s="121"/>
      <c r="D27" s="121"/>
      <c r="E27" s="121"/>
      <c r="F27" s="17"/>
      <c r="G27" s="17"/>
      <c r="H27" s="17"/>
    </row>
    <row r="28" spans="1:8" x14ac:dyDescent="0.2">
      <c r="A28" s="41"/>
      <c r="B28" s="121"/>
      <c r="C28" s="121"/>
      <c r="D28" s="121"/>
      <c r="E28" s="121"/>
      <c r="F28" s="17"/>
      <c r="G28" s="17"/>
      <c r="H28" s="17"/>
    </row>
    <row r="29" spans="1:8" x14ac:dyDescent="0.2">
      <c r="A29" s="41"/>
      <c r="B29" s="121"/>
      <c r="C29" s="121"/>
      <c r="D29" s="121"/>
      <c r="E29" s="121"/>
      <c r="F29" s="17"/>
      <c r="G29" s="17"/>
      <c r="H29" s="17"/>
    </row>
    <row r="30" spans="1:8" x14ac:dyDescent="0.2">
      <c r="A30" s="41"/>
      <c r="B30" s="121"/>
      <c r="C30" s="121"/>
      <c r="D30" s="121"/>
      <c r="E30" s="121"/>
      <c r="F30" s="17"/>
      <c r="G30" s="17"/>
      <c r="H30" s="17"/>
    </row>
    <row r="31" spans="1:8" x14ac:dyDescent="0.2">
      <c r="A31" s="41"/>
      <c r="B31" s="121"/>
      <c r="C31" s="121"/>
      <c r="D31" s="121"/>
      <c r="E31" s="121"/>
      <c r="F31" s="17"/>
      <c r="G31" s="17"/>
      <c r="H31" s="17"/>
    </row>
    <row r="32" spans="1:8" x14ac:dyDescent="0.2">
      <c r="A32" s="39"/>
      <c r="B32" s="123"/>
      <c r="C32" s="123"/>
      <c r="D32" s="123"/>
      <c r="E32" s="123"/>
      <c r="F32" s="17"/>
      <c r="G32" s="17"/>
      <c r="H32" s="17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&amp;R3.2)a. sz. melléklet
.../2018. (...)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L12"/>
  <sheetViews>
    <sheetView topLeftCell="B1" zoomScaleNormal="100" workbookViewId="0">
      <selection activeCell="T3" sqref="T3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4.28515625" customWidth="1"/>
    <col min="9" max="9" width="15.140625" customWidth="1"/>
    <col min="10" max="10" width="12.5703125" customWidth="1"/>
    <col min="11" max="11" width="14.85546875" customWidth="1"/>
    <col min="12" max="12" width="14.140625" customWidth="1"/>
  </cols>
  <sheetData>
    <row r="1" spans="1:12" ht="15.75" customHeight="1" x14ac:dyDescent="0.2">
      <c r="A1" s="940" t="s">
        <v>509</v>
      </c>
      <c r="B1" s="940"/>
      <c r="C1" s="940"/>
      <c r="D1" s="940"/>
      <c r="E1" s="940"/>
      <c r="F1" s="940"/>
    </row>
    <row r="2" spans="1:12" x14ac:dyDescent="0.2">
      <c r="A2" s="940"/>
      <c r="B2" s="940"/>
      <c r="C2" s="940"/>
      <c r="D2" s="940"/>
      <c r="E2" s="940"/>
      <c r="F2" s="940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474" customFormat="1" ht="102" customHeight="1" thickBot="1" x14ac:dyDescent="0.25">
      <c r="A6" s="938" t="s">
        <v>180</v>
      </c>
      <c r="B6" s="497" t="s">
        <v>200</v>
      </c>
      <c r="C6" s="497" t="s">
        <v>211</v>
      </c>
      <c r="D6" s="497" t="s">
        <v>202</v>
      </c>
      <c r="E6" s="497" t="s">
        <v>212</v>
      </c>
      <c r="F6" s="497" t="s">
        <v>208</v>
      </c>
      <c r="G6" s="497" t="s">
        <v>213</v>
      </c>
      <c r="H6" s="497" t="s">
        <v>204</v>
      </c>
      <c r="I6" s="497" t="s">
        <v>205</v>
      </c>
      <c r="J6" s="497" t="s">
        <v>206</v>
      </c>
      <c r="K6" s="497" t="s">
        <v>214</v>
      </c>
      <c r="L6" s="498" t="s">
        <v>41</v>
      </c>
    </row>
    <row r="7" spans="1:12" s="474" customFormat="1" ht="21" customHeight="1" thickBot="1" x14ac:dyDescent="0.25">
      <c r="A7" s="939"/>
      <c r="B7" s="35" t="s">
        <v>488</v>
      </c>
      <c r="C7" s="35" t="s">
        <v>488</v>
      </c>
      <c r="D7" s="35" t="s">
        <v>488</v>
      </c>
      <c r="E7" s="35" t="s">
        <v>488</v>
      </c>
      <c r="F7" s="35" t="s">
        <v>488</v>
      </c>
      <c r="G7" s="35" t="s">
        <v>488</v>
      </c>
      <c r="H7" s="35" t="s">
        <v>488</v>
      </c>
      <c r="I7" s="35" t="s">
        <v>488</v>
      </c>
      <c r="J7" s="35" t="s">
        <v>488</v>
      </c>
      <c r="K7" s="35" t="s">
        <v>488</v>
      </c>
      <c r="L7" s="35" t="s">
        <v>488</v>
      </c>
    </row>
    <row r="8" spans="1:12" s="474" customFormat="1" x14ac:dyDescent="0.2">
      <c r="A8" s="499" t="s">
        <v>192</v>
      </c>
      <c r="B8" s="263"/>
      <c r="C8" s="263"/>
      <c r="D8" s="263">
        <v>667500</v>
      </c>
      <c r="E8" s="505"/>
      <c r="F8" s="506"/>
      <c r="G8" s="507"/>
      <c r="H8" s="341"/>
      <c r="I8" s="424"/>
      <c r="J8" s="424"/>
      <c r="K8" s="424"/>
      <c r="L8" s="500">
        <f>SUM(B8:K8)</f>
        <v>667500</v>
      </c>
    </row>
    <row r="9" spans="1:12" s="474" customFormat="1" x14ac:dyDescent="0.2">
      <c r="A9" s="499" t="s">
        <v>193</v>
      </c>
      <c r="B9" s="263">
        <v>6268900</v>
      </c>
      <c r="C9" s="263">
        <v>1097100</v>
      </c>
      <c r="D9" s="263">
        <v>3541000</v>
      </c>
      <c r="E9" s="505"/>
      <c r="F9" s="507"/>
      <c r="G9" s="507"/>
      <c r="H9" s="341">
        <v>38100</v>
      </c>
      <c r="I9" s="424"/>
      <c r="J9" s="424"/>
      <c r="K9" s="424"/>
      <c r="L9" s="500">
        <f>SUM(B9:K9)</f>
        <v>10945100</v>
      </c>
    </row>
    <row r="10" spans="1:12" s="474" customFormat="1" x14ac:dyDescent="0.2">
      <c r="A10" s="499" t="s">
        <v>194</v>
      </c>
      <c r="B10" s="263"/>
      <c r="C10" s="263"/>
      <c r="D10" s="263">
        <v>197000</v>
      </c>
      <c r="E10" s="505"/>
      <c r="F10" s="507"/>
      <c r="G10" s="508"/>
      <c r="H10" s="341"/>
      <c r="I10" s="424"/>
      <c r="J10" s="424"/>
      <c r="K10" s="424"/>
      <c r="L10" s="500">
        <f>SUM(B10:K10)</f>
        <v>197000</v>
      </c>
    </row>
    <row r="11" spans="1:12" s="474" customFormat="1" ht="25.5" x14ac:dyDescent="0.2">
      <c r="A11" s="501" t="s">
        <v>195</v>
      </c>
      <c r="B11" s="263">
        <v>565840</v>
      </c>
      <c r="C11" s="263">
        <v>90000</v>
      </c>
      <c r="D11" s="263">
        <v>306000</v>
      </c>
      <c r="E11" s="263"/>
      <c r="F11" s="263"/>
      <c r="G11" s="263"/>
      <c r="H11" s="341"/>
      <c r="I11" s="424"/>
      <c r="J11" s="424"/>
      <c r="K11" s="424"/>
      <c r="L11" s="500">
        <f>SUM(B11:K11)</f>
        <v>961840</v>
      </c>
    </row>
    <row r="12" spans="1:12" s="504" customFormat="1" ht="24" customHeight="1" thickBot="1" x14ac:dyDescent="0.25">
      <c r="A12" s="502" t="s">
        <v>110</v>
      </c>
      <c r="B12" s="503">
        <f>SUM(B8:B11)</f>
        <v>6834740</v>
      </c>
      <c r="C12" s="503">
        <f t="shared" ref="C12:L12" si="0">SUM(C8:C11)</f>
        <v>1187100</v>
      </c>
      <c r="D12" s="503">
        <f t="shared" si="0"/>
        <v>4711500</v>
      </c>
      <c r="E12" s="503">
        <f t="shared" si="0"/>
        <v>0</v>
      </c>
      <c r="F12" s="503">
        <f t="shared" si="0"/>
        <v>0</v>
      </c>
      <c r="G12" s="503">
        <f t="shared" si="0"/>
        <v>0</v>
      </c>
      <c r="H12" s="503">
        <f t="shared" si="0"/>
        <v>38100</v>
      </c>
      <c r="I12" s="503">
        <f t="shared" si="0"/>
        <v>0</v>
      </c>
      <c r="J12" s="503">
        <f t="shared" si="0"/>
        <v>0</v>
      </c>
      <c r="K12" s="503">
        <f t="shared" si="0"/>
        <v>0</v>
      </c>
      <c r="L12" s="503">
        <f t="shared" si="0"/>
        <v>12771440</v>
      </c>
    </row>
  </sheetData>
  <mergeCells count="2">
    <mergeCell ref="A6:A7"/>
    <mergeCell ref="A1:F2"/>
  </mergeCells>
  <phoneticPr fontId="39" type="noConversion"/>
  <pageMargins left="0.75" right="0.75" top="1" bottom="1" header="0.5" footer="0.5"/>
  <pageSetup paperSize="9" scale="43" orientation="landscape" r:id="rId1"/>
  <headerFooter alignWithMargins="0">
    <oddHeader>&amp;R3.3. sz. melléklet
...../2020.(.......)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opLeftCell="B1" zoomScaleNormal="100" workbookViewId="0">
      <selection activeCell="T6" sqref="T6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940" t="s">
        <v>510</v>
      </c>
      <c r="B1" s="940"/>
      <c r="C1" s="940"/>
      <c r="D1" s="940"/>
      <c r="E1" s="940"/>
      <c r="F1" s="940"/>
    </row>
    <row r="2" spans="1:12" x14ac:dyDescent="0.2">
      <c r="A2" s="940"/>
      <c r="B2" s="940"/>
      <c r="C2" s="940"/>
      <c r="D2" s="940"/>
      <c r="E2" s="940"/>
      <c r="F2" s="940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474" customFormat="1" ht="102" customHeight="1" thickBot="1" x14ac:dyDescent="0.25">
      <c r="A6" s="938" t="s">
        <v>180</v>
      </c>
      <c r="B6" s="497" t="s">
        <v>200</v>
      </c>
      <c r="C6" s="497" t="s">
        <v>211</v>
      </c>
      <c r="D6" s="497" t="s">
        <v>202</v>
      </c>
      <c r="E6" s="497" t="s">
        <v>212</v>
      </c>
      <c r="F6" s="497" t="s">
        <v>208</v>
      </c>
      <c r="G6" s="497" t="s">
        <v>213</v>
      </c>
      <c r="H6" s="497" t="s">
        <v>204</v>
      </c>
      <c r="I6" s="497" t="s">
        <v>205</v>
      </c>
      <c r="J6" s="497" t="s">
        <v>206</v>
      </c>
      <c r="K6" s="497" t="s">
        <v>214</v>
      </c>
      <c r="L6" s="498" t="s">
        <v>41</v>
      </c>
    </row>
    <row r="7" spans="1:12" s="474" customFormat="1" ht="21" customHeight="1" thickBot="1" x14ac:dyDescent="0.25">
      <c r="A7" s="939"/>
      <c r="B7" s="35" t="s">
        <v>488</v>
      </c>
      <c r="C7" s="35" t="s">
        <v>488</v>
      </c>
      <c r="D7" s="35" t="s">
        <v>488</v>
      </c>
      <c r="E7" s="35" t="s">
        <v>488</v>
      </c>
      <c r="F7" s="35" t="s">
        <v>488</v>
      </c>
      <c r="G7" s="35" t="s">
        <v>488</v>
      </c>
      <c r="H7" s="35" t="s">
        <v>488</v>
      </c>
      <c r="I7" s="35" t="s">
        <v>488</v>
      </c>
      <c r="J7" s="35" t="s">
        <v>488</v>
      </c>
      <c r="K7" s="35" t="s">
        <v>488</v>
      </c>
      <c r="L7" s="35" t="s">
        <v>488</v>
      </c>
    </row>
    <row r="8" spans="1:12" s="474" customFormat="1" x14ac:dyDescent="0.2">
      <c r="A8" s="499" t="s">
        <v>192</v>
      </c>
      <c r="B8" s="263"/>
      <c r="C8" s="263"/>
      <c r="D8" s="263">
        <v>667500</v>
      </c>
      <c r="E8" s="505"/>
      <c r="F8" s="506"/>
      <c r="G8" s="507"/>
      <c r="H8" s="341"/>
      <c r="I8" s="424"/>
      <c r="J8" s="424"/>
      <c r="K8" s="424"/>
      <c r="L8" s="500">
        <f>SUM(B8:K8)</f>
        <v>667500</v>
      </c>
    </row>
    <row r="9" spans="1:12" s="474" customFormat="1" x14ac:dyDescent="0.2">
      <c r="A9" s="499" t="s">
        <v>193</v>
      </c>
      <c r="B9" s="263">
        <v>6268900</v>
      </c>
      <c r="C9" s="263">
        <v>1097100</v>
      </c>
      <c r="D9" s="263">
        <v>3541000</v>
      </c>
      <c r="E9" s="505"/>
      <c r="F9" s="507"/>
      <c r="G9" s="507"/>
      <c r="H9" s="341">
        <v>38100</v>
      </c>
      <c r="I9" s="424"/>
      <c r="J9" s="424"/>
      <c r="K9" s="424"/>
      <c r="L9" s="500">
        <f>SUM(B9:K9)</f>
        <v>10945100</v>
      </c>
    </row>
    <row r="10" spans="1:12" s="474" customFormat="1" x14ac:dyDescent="0.2">
      <c r="A10" s="499" t="s">
        <v>194</v>
      </c>
      <c r="B10" s="263"/>
      <c r="C10" s="263"/>
      <c r="D10" s="263">
        <v>197000</v>
      </c>
      <c r="E10" s="505"/>
      <c r="F10" s="507"/>
      <c r="G10" s="508"/>
      <c r="H10" s="341"/>
      <c r="I10" s="424"/>
      <c r="J10" s="424"/>
      <c r="K10" s="424"/>
      <c r="L10" s="500">
        <f>SUM(B10:K10)</f>
        <v>197000</v>
      </c>
    </row>
    <row r="11" spans="1:12" s="474" customFormat="1" ht="25.5" x14ac:dyDescent="0.2">
      <c r="A11" s="501" t="s">
        <v>195</v>
      </c>
      <c r="B11" s="263">
        <v>565840</v>
      </c>
      <c r="C11" s="263">
        <v>90000</v>
      </c>
      <c r="D11" s="263">
        <v>306000</v>
      </c>
      <c r="E11" s="263"/>
      <c r="F11" s="263"/>
      <c r="G11" s="263"/>
      <c r="H11" s="341"/>
      <c r="I11" s="424"/>
      <c r="J11" s="424"/>
      <c r="K11" s="424"/>
      <c r="L11" s="500">
        <f>SUM(B11:K11)</f>
        <v>961840</v>
      </c>
    </row>
    <row r="12" spans="1:12" s="504" customFormat="1" ht="24" customHeight="1" thickBot="1" x14ac:dyDescent="0.25">
      <c r="A12" s="502" t="s">
        <v>110</v>
      </c>
      <c r="B12" s="503">
        <f>SUM(B8:B11)</f>
        <v>6834740</v>
      </c>
      <c r="C12" s="503">
        <f t="shared" ref="C12:L12" si="0">SUM(C8:C11)</f>
        <v>1187100</v>
      </c>
      <c r="D12" s="503">
        <f t="shared" si="0"/>
        <v>4711500</v>
      </c>
      <c r="E12" s="503">
        <f t="shared" si="0"/>
        <v>0</v>
      </c>
      <c r="F12" s="503">
        <f t="shared" si="0"/>
        <v>0</v>
      </c>
      <c r="G12" s="503">
        <f t="shared" si="0"/>
        <v>0</v>
      </c>
      <c r="H12" s="503">
        <f t="shared" si="0"/>
        <v>38100</v>
      </c>
      <c r="I12" s="503">
        <f t="shared" si="0"/>
        <v>0</v>
      </c>
      <c r="J12" s="503">
        <f t="shared" si="0"/>
        <v>0</v>
      </c>
      <c r="K12" s="503">
        <f t="shared" si="0"/>
        <v>0</v>
      </c>
      <c r="L12" s="503">
        <f t="shared" si="0"/>
        <v>12771440</v>
      </c>
    </row>
  </sheetData>
  <mergeCells count="2">
    <mergeCell ref="A1:F2"/>
    <mergeCell ref="A6:A7"/>
  </mergeCells>
  <pageMargins left="0.75" right="0.75" top="1" bottom="1" header="0.5" footer="0.5"/>
  <pageSetup paperSize="9" scale="43" orientation="landscape" r:id="rId1"/>
  <headerFooter alignWithMargins="0">
    <oddHeader>&amp;R3.3. sz. melléklet
...../2020.(.......)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K36"/>
  <sheetViews>
    <sheetView topLeftCell="B12" zoomScaleNormal="100" workbookViewId="0">
      <selection activeCell="C32" sqref="C32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10" max="10" width="19" style="641" bestFit="1" customWidth="1"/>
    <col min="11" max="11" width="10" bestFit="1" customWidth="1"/>
  </cols>
  <sheetData>
    <row r="1" spans="2:10" ht="7.5" customHeight="1" x14ac:dyDescent="0.2"/>
    <row r="2" spans="2:10" ht="30" customHeight="1" x14ac:dyDescent="0.2">
      <c r="B2" s="922" t="s">
        <v>514</v>
      </c>
      <c r="C2" s="922"/>
      <c r="D2" s="922"/>
      <c r="E2" s="922"/>
      <c r="F2" s="922"/>
    </row>
    <row r="3" spans="2:10" ht="4.5" customHeight="1" thickBot="1" x14ac:dyDescent="0.25">
      <c r="B3" s="922"/>
      <c r="C3" s="922"/>
      <c r="D3" s="922"/>
      <c r="E3" s="922"/>
      <c r="F3" s="922"/>
    </row>
    <row r="4" spans="2:10" ht="3.75" hidden="1" customHeight="1" thickBot="1" x14ac:dyDescent="0.3">
      <c r="B4" s="25"/>
      <c r="C4" s="25"/>
      <c r="D4" s="25"/>
      <c r="E4" s="25"/>
      <c r="F4" s="30" t="s">
        <v>46</v>
      </c>
    </row>
    <row r="5" spans="2:10" ht="15.75" customHeight="1" x14ac:dyDescent="0.2">
      <c r="B5" s="941" t="s">
        <v>47</v>
      </c>
      <c r="C5" s="941" t="s">
        <v>439</v>
      </c>
      <c r="D5" s="943" t="s">
        <v>437</v>
      </c>
      <c r="E5" s="943" t="s">
        <v>438</v>
      </c>
      <c r="F5" s="946" t="s">
        <v>48</v>
      </c>
    </row>
    <row r="6" spans="2:10" ht="35.25" customHeight="1" thickBot="1" x14ac:dyDescent="0.25">
      <c r="B6" s="942"/>
      <c r="C6" s="942"/>
      <c r="D6" s="944"/>
      <c r="E6" s="945"/>
      <c r="F6" s="947"/>
    </row>
    <row r="7" spans="2:10" ht="15" customHeight="1" thickBot="1" x14ac:dyDescent="0.25">
      <c r="B7" s="31" t="s">
        <v>252</v>
      </c>
      <c r="C7" s="233">
        <f>C8+C10</f>
        <v>105943566</v>
      </c>
      <c r="D7" s="233">
        <f>D8+D10</f>
        <v>97424173</v>
      </c>
      <c r="E7" s="233">
        <f>E8+E10</f>
        <v>6834740</v>
      </c>
      <c r="F7" s="235">
        <f t="shared" ref="F7:F33" si="0">SUM(C7:E7)</f>
        <v>210202479</v>
      </c>
    </row>
    <row r="8" spans="2:10" ht="15" customHeight="1" thickBot="1" x14ac:dyDescent="0.25">
      <c r="B8" s="32" t="s">
        <v>253</v>
      </c>
      <c r="C8" s="175">
        <v>79427364</v>
      </c>
      <c r="D8" s="191">
        <v>97424173</v>
      </c>
      <c r="E8" s="191">
        <v>6268900</v>
      </c>
      <c r="F8" s="235">
        <f t="shared" si="0"/>
        <v>183120437</v>
      </c>
    </row>
    <row r="9" spans="2:10" ht="15" customHeight="1" thickBot="1" x14ac:dyDescent="0.25">
      <c r="B9" s="32" t="s">
        <v>256</v>
      </c>
      <c r="C9" s="175">
        <v>65293854</v>
      </c>
      <c r="D9" s="191"/>
      <c r="E9" s="191"/>
      <c r="F9" s="235">
        <f t="shared" si="0"/>
        <v>65293854</v>
      </c>
    </row>
    <row r="10" spans="2:10" ht="15" customHeight="1" thickBot="1" x14ac:dyDescent="0.25">
      <c r="B10" s="33" t="s">
        <v>254</v>
      </c>
      <c r="C10" s="176">
        <v>26516202</v>
      </c>
      <c r="D10" s="120">
        <v>0</v>
      </c>
      <c r="E10" s="120">
        <v>565840</v>
      </c>
      <c r="F10" s="235">
        <f t="shared" si="0"/>
        <v>27082042</v>
      </c>
    </row>
    <row r="11" spans="2:10" ht="15" customHeight="1" thickBot="1" x14ac:dyDescent="0.25">
      <c r="B11" s="34" t="s">
        <v>313</v>
      </c>
      <c r="C11" s="177">
        <v>14767483</v>
      </c>
      <c r="D11" s="234"/>
      <c r="E11" s="234">
        <v>1187100</v>
      </c>
      <c r="F11" s="235">
        <f t="shared" si="0"/>
        <v>15954583</v>
      </c>
    </row>
    <row r="12" spans="2:10" ht="29.25" customHeight="1" thickBot="1" x14ac:dyDescent="0.25">
      <c r="B12" s="173" t="s">
        <v>223</v>
      </c>
      <c r="C12" s="235">
        <v>13474412</v>
      </c>
      <c r="D12" s="235">
        <v>17906100</v>
      </c>
      <c r="E12" s="233">
        <v>1187100</v>
      </c>
      <c r="F12" s="235">
        <f t="shared" si="0"/>
        <v>32567612</v>
      </c>
      <c r="H12" s="189"/>
    </row>
    <row r="13" spans="2:10" ht="15" customHeight="1" thickBot="1" x14ac:dyDescent="0.25">
      <c r="B13" s="119" t="s">
        <v>202</v>
      </c>
      <c r="C13" s="233">
        <v>385152141</v>
      </c>
      <c r="D13" s="233">
        <v>18965000</v>
      </c>
      <c r="E13" s="233">
        <v>4711500</v>
      </c>
      <c r="F13" s="235">
        <f t="shared" si="0"/>
        <v>408828641</v>
      </c>
    </row>
    <row r="14" spans="2:10" ht="15" customHeight="1" thickBot="1" x14ac:dyDescent="0.25">
      <c r="B14" s="90" t="s">
        <v>203</v>
      </c>
      <c r="C14" s="339">
        <v>14005000</v>
      </c>
      <c r="D14" s="236"/>
      <c r="E14" s="236"/>
      <c r="F14" s="235">
        <f>SUM(C14:E14)</f>
        <v>14005000</v>
      </c>
    </row>
    <row r="15" spans="2:10" s="97" customFormat="1" ht="29.25" customHeight="1" thickBot="1" x14ac:dyDescent="0.25">
      <c r="B15" s="173" t="s">
        <v>229</v>
      </c>
      <c r="C15" s="676">
        <f>SUM(C16:C31)</f>
        <v>145707092</v>
      </c>
      <c r="D15" s="677">
        <f>SUM(D16:D31)</f>
        <v>0</v>
      </c>
      <c r="E15" s="676">
        <f>SUM(E16:E31)</f>
        <v>0</v>
      </c>
      <c r="F15" s="677">
        <f>SUM(F16:F31)</f>
        <v>145707092</v>
      </c>
      <c r="J15" s="807"/>
    </row>
    <row r="16" spans="2:10" ht="15" customHeight="1" thickBot="1" x14ac:dyDescent="0.25">
      <c r="B16" s="85" t="s">
        <v>384</v>
      </c>
      <c r="C16" s="493">
        <v>22522905</v>
      </c>
      <c r="D16" s="343"/>
      <c r="E16" s="344"/>
      <c r="F16" s="235">
        <f>SUM(C16:E16)</f>
        <v>22522905</v>
      </c>
    </row>
    <row r="17" spans="1:11" ht="15" customHeight="1" thickBot="1" x14ac:dyDescent="0.25">
      <c r="B17" s="85" t="s">
        <v>383</v>
      </c>
      <c r="C17" s="808">
        <v>47345308</v>
      </c>
      <c r="D17" s="341"/>
      <c r="E17" s="342"/>
      <c r="F17" s="235">
        <f t="shared" si="0"/>
        <v>47345308</v>
      </c>
    </row>
    <row r="18" spans="1:11" ht="17.25" customHeight="1" thickBot="1" x14ac:dyDescent="0.25">
      <c r="B18" s="85" t="s">
        <v>114</v>
      </c>
      <c r="C18" s="492">
        <v>27708000</v>
      </c>
      <c r="D18" s="341"/>
      <c r="E18" s="342"/>
      <c r="F18" s="235">
        <f t="shared" si="0"/>
        <v>27708000</v>
      </c>
    </row>
    <row r="19" spans="1:11" ht="30.75" customHeight="1" thickBot="1" x14ac:dyDescent="0.25">
      <c r="B19" s="172" t="s">
        <v>521</v>
      </c>
      <c r="C19" s="492">
        <v>14724731</v>
      </c>
      <c r="D19" s="341"/>
      <c r="E19" s="342"/>
      <c r="F19" s="235">
        <f t="shared" si="0"/>
        <v>14724731</v>
      </c>
    </row>
    <row r="20" spans="1:11" ht="15" customHeight="1" thickBot="1" x14ac:dyDescent="0.25">
      <c r="B20" s="85" t="s">
        <v>451</v>
      </c>
      <c r="C20" s="492">
        <v>50000</v>
      </c>
      <c r="D20" s="341"/>
      <c r="E20" s="342"/>
      <c r="F20" s="235">
        <f t="shared" si="0"/>
        <v>50000</v>
      </c>
      <c r="K20" s="127"/>
    </row>
    <row r="21" spans="1:11" ht="15" customHeight="1" thickBot="1" x14ac:dyDescent="0.25">
      <c r="B21" s="85" t="s">
        <v>131</v>
      </c>
      <c r="C21" s="492">
        <v>11250713</v>
      </c>
      <c r="D21" s="341"/>
      <c r="E21" s="342"/>
      <c r="F21" s="235">
        <f t="shared" si="0"/>
        <v>11250713</v>
      </c>
    </row>
    <row r="22" spans="1:11" ht="29.25" customHeight="1" thickBot="1" x14ac:dyDescent="0.25">
      <c r="B22" s="172" t="s">
        <v>518</v>
      </c>
      <c r="C22" s="493">
        <v>280320</v>
      </c>
      <c r="D22" s="343"/>
      <c r="E22" s="344"/>
      <c r="F22" s="235">
        <f t="shared" si="0"/>
        <v>280320</v>
      </c>
      <c r="K22" s="127"/>
    </row>
    <row r="23" spans="1:11" ht="30" customHeight="1" thickBot="1" x14ac:dyDescent="0.25">
      <c r="B23" s="172" t="s">
        <v>519</v>
      </c>
      <c r="C23" s="493">
        <v>2117115</v>
      </c>
      <c r="D23" s="343"/>
      <c r="E23" s="344"/>
      <c r="F23" s="235">
        <f t="shared" si="0"/>
        <v>2117115</v>
      </c>
      <c r="K23" s="127"/>
    </row>
    <row r="24" spans="1:11" ht="16.5" customHeight="1" thickBot="1" x14ac:dyDescent="0.25">
      <c r="B24" s="172" t="s">
        <v>520</v>
      </c>
      <c r="C24" s="493">
        <v>5000000</v>
      </c>
      <c r="D24" s="343"/>
      <c r="E24" s="344"/>
      <c r="F24" s="235">
        <f t="shared" si="0"/>
        <v>5000000</v>
      </c>
      <c r="K24" s="127"/>
    </row>
    <row r="25" spans="1:11" ht="15" customHeight="1" thickBot="1" x14ac:dyDescent="0.25">
      <c r="B25" s="85" t="s">
        <v>517</v>
      </c>
      <c r="C25" s="493">
        <v>20000</v>
      </c>
      <c r="D25" s="343"/>
      <c r="E25" s="344"/>
      <c r="F25" s="235">
        <f>SUM(C25:E25)</f>
        <v>20000</v>
      </c>
    </row>
    <row r="26" spans="1:11" ht="15" customHeight="1" thickBot="1" x14ac:dyDescent="0.25">
      <c r="B26" s="85" t="s">
        <v>259</v>
      </c>
      <c r="C26" s="493">
        <v>400000</v>
      </c>
      <c r="D26" s="343"/>
      <c r="E26" s="344"/>
      <c r="F26" s="235">
        <f t="shared" si="0"/>
        <v>400000</v>
      </c>
    </row>
    <row r="27" spans="1:11" ht="15" customHeight="1" thickBot="1" x14ac:dyDescent="0.25">
      <c r="B27" s="86" t="s">
        <v>516</v>
      </c>
      <c r="C27" s="493">
        <v>50000</v>
      </c>
      <c r="D27" s="343"/>
      <c r="E27" s="344"/>
      <c r="F27" s="235">
        <f t="shared" si="0"/>
        <v>50000</v>
      </c>
    </row>
    <row r="28" spans="1:11" ht="15" customHeight="1" thickBot="1" x14ac:dyDescent="0.25">
      <c r="B28" s="496" t="s">
        <v>515</v>
      </c>
      <c r="C28" s="494">
        <v>105000</v>
      </c>
      <c r="D28" s="343"/>
      <c r="E28" s="344"/>
      <c r="F28" s="235">
        <f t="shared" si="0"/>
        <v>105000</v>
      </c>
    </row>
    <row r="29" spans="1:11" ht="15" customHeight="1" thickBot="1" x14ac:dyDescent="0.25">
      <c r="B29" s="86" t="s">
        <v>257</v>
      </c>
      <c r="C29" s="494">
        <f>1500000+1433000</f>
        <v>2933000</v>
      </c>
      <c r="D29" s="343"/>
      <c r="E29" s="344"/>
      <c r="F29" s="235">
        <f t="shared" si="0"/>
        <v>2933000</v>
      </c>
    </row>
    <row r="30" spans="1:11" ht="15" customHeight="1" thickBot="1" x14ac:dyDescent="0.25">
      <c r="B30" s="473" t="s">
        <v>258</v>
      </c>
      <c r="C30" s="495">
        <v>1200000</v>
      </c>
      <c r="D30" s="345"/>
      <c r="E30" s="346"/>
      <c r="F30" s="235">
        <f t="shared" si="0"/>
        <v>1200000</v>
      </c>
    </row>
    <row r="31" spans="1:11" s="97" customFormat="1" ht="15" customHeight="1" thickBot="1" x14ac:dyDescent="0.25">
      <c r="A31" s="281"/>
      <c r="B31" s="514" t="s">
        <v>395</v>
      </c>
      <c r="C31" s="515">
        <v>10000000</v>
      </c>
      <c r="D31" s="513"/>
      <c r="E31" s="515"/>
      <c r="F31" s="659">
        <f t="shared" si="0"/>
        <v>10000000</v>
      </c>
      <c r="J31" s="807"/>
    </row>
    <row r="32" spans="1:11" s="97" customFormat="1" ht="15" customHeight="1" thickBot="1" x14ac:dyDescent="0.25">
      <c r="B32" s="31" t="s">
        <v>255</v>
      </c>
      <c r="C32" s="340">
        <f>C33</f>
        <v>10353836</v>
      </c>
      <c r="D32" s="340">
        <f>SUM(D33:D33)</f>
        <v>0</v>
      </c>
      <c r="E32" s="233">
        <f>SUM(E33:E33)</f>
        <v>0</v>
      </c>
      <c r="F32" s="235">
        <f t="shared" si="0"/>
        <v>10353836</v>
      </c>
      <c r="J32" s="807"/>
    </row>
    <row r="33" spans="2:6" ht="27.75" customHeight="1" thickBot="1" x14ac:dyDescent="0.25">
      <c r="B33" s="862" t="s">
        <v>599</v>
      </c>
      <c r="C33" s="863">
        <v>10353836</v>
      </c>
      <c r="D33" s="337">
        <v>0</v>
      </c>
      <c r="E33" s="338"/>
      <c r="F33" s="235">
        <f t="shared" si="0"/>
        <v>10353836</v>
      </c>
    </row>
    <row r="34" spans="2:6" ht="13.5" thickBot="1" x14ac:dyDescent="0.25">
      <c r="B34" s="31" t="s">
        <v>49</v>
      </c>
      <c r="C34" s="233">
        <f>C7+C12+C13+C14+C15+C32</f>
        <v>674636047</v>
      </c>
      <c r="D34" s="233">
        <f>D7+D12+D13+D14+D15+D32</f>
        <v>134295273</v>
      </c>
      <c r="E34" s="233">
        <f>E7+E12+E13+E14+E15+E32</f>
        <v>12733340</v>
      </c>
      <c r="F34" s="233">
        <f>F7+F12+F13+F14+F15+F32</f>
        <v>821664660</v>
      </c>
    </row>
    <row r="35" spans="2:6" x14ac:dyDescent="0.2">
      <c r="C35" s="248"/>
      <c r="D35" s="2"/>
    </row>
    <row r="36" spans="2:6" x14ac:dyDescent="0.2">
      <c r="C36" s="127"/>
      <c r="D36" s="127"/>
    </row>
  </sheetData>
  <mergeCells count="6">
    <mergeCell ref="B2:F3"/>
    <mergeCell ref="B5:B6"/>
    <mergeCell ref="D5:D6"/>
    <mergeCell ref="E5:E6"/>
    <mergeCell ref="F5:F6"/>
    <mergeCell ref="C5:C6"/>
  </mergeCells>
  <phoneticPr fontId="4" type="noConversion"/>
  <pageMargins left="0.78740157480314965" right="0.78740157480314965" top="0.83229166666666665" bottom="0.78740157480314965" header="0.51181102362204722" footer="0.51181102362204722"/>
  <pageSetup paperSize="9" scale="82" orientation="landscape" r:id="rId1"/>
  <headerFooter alignWithMargins="0">
    <oddHeader>&amp;R4.sz melléklet
..../2020.(.....) Egyek Önk.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10" zoomScale="140" zoomScaleNormal="140" workbookViewId="0">
      <selection activeCell="E21" sqref="E21"/>
    </sheetView>
  </sheetViews>
  <sheetFormatPr defaultRowHeight="12.75" x14ac:dyDescent="0.2"/>
  <cols>
    <col min="1" max="1" width="9.140625" customWidth="1"/>
    <col min="2" max="2" width="19.28515625" customWidth="1"/>
    <col min="3" max="3" width="74.7109375" customWidth="1"/>
    <col min="4" max="4" width="20.85546875" customWidth="1"/>
    <col min="5" max="5" width="15.7109375" bestFit="1" customWidth="1"/>
    <col min="6" max="6" width="20.140625" style="641" bestFit="1" customWidth="1"/>
    <col min="8" max="8" width="12.5703125" bestFit="1" customWidth="1"/>
  </cols>
  <sheetData>
    <row r="1" spans="1:6" x14ac:dyDescent="0.2">
      <c r="D1" s="136"/>
    </row>
    <row r="2" spans="1:6" x14ac:dyDescent="0.2">
      <c r="D2" s="136"/>
    </row>
    <row r="3" spans="1:6" x14ac:dyDescent="0.2">
      <c r="A3" s="474"/>
      <c r="B3" s="474"/>
      <c r="C3" s="474"/>
      <c r="D3" s="475"/>
    </row>
    <row r="4" spans="1:6" ht="15.75" x14ac:dyDescent="0.25">
      <c r="A4" s="948" t="s">
        <v>441</v>
      </c>
      <c r="B4" s="948"/>
      <c r="C4" s="948"/>
      <c r="D4" s="948"/>
    </row>
    <row r="5" spans="1:6" ht="13.5" thickBot="1" x14ac:dyDescent="0.25">
      <c r="A5" s="474"/>
      <c r="B5" s="474"/>
      <c r="C5" s="474"/>
      <c r="D5" s="476" t="s">
        <v>52</v>
      </c>
    </row>
    <row r="6" spans="1:6" ht="26.25" thickBot="1" x14ac:dyDescent="0.25">
      <c r="A6" s="825" t="s">
        <v>537</v>
      </c>
      <c r="B6" s="826" t="s">
        <v>260</v>
      </c>
      <c r="C6" s="674" t="s">
        <v>51</v>
      </c>
      <c r="D6" s="828" t="s">
        <v>403</v>
      </c>
    </row>
    <row r="7" spans="1:6" s="281" customFormat="1" x14ac:dyDescent="0.2">
      <c r="A7" s="811" t="s">
        <v>18</v>
      </c>
      <c r="B7" s="812" t="s">
        <v>456</v>
      </c>
      <c r="C7" s="813" t="s">
        <v>525</v>
      </c>
      <c r="D7" s="814">
        <v>1000000</v>
      </c>
      <c r="F7" s="641"/>
    </row>
    <row r="8" spans="1:6" x14ac:dyDescent="0.2">
      <c r="A8" s="809" t="s">
        <v>22</v>
      </c>
      <c r="B8" s="810" t="s">
        <v>261</v>
      </c>
      <c r="C8" s="424" t="s">
        <v>371</v>
      </c>
      <c r="D8" s="703">
        <f>8907883+2405129</f>
        <v>11313012</v>
      </c>
    </row>
    <row r="9" spans="1:6" x14ac:dyDescent="0.2">
      <c r="A9" s="809" t="s">
        <v>26</v>
      </c>
      <c r="B9" s="810" t="s">
        <v>452</v>
      </c>
      <c r="C9" s="424" t="s">
        <v>522</v>
      </c>
      <c r="D9" s="702">
        <v>2000000</v>
      </c>
    </row>
    <row r="10" spans="1:6" ht="13.5" thickBot="1" x14ac:dyDescent="0.25">
      <c r="A10" s="815" t="s">
        <v>20</v>
      </c>
      <c r="B10" s="816" t="s">
        <v>523</v>
      </c>
      <c r="C10" s="817" t="s">
        <v>524</v>
      </c>
      <c r="D10" s="702">
        <v>3590464</v>
      </c>
    </row>
    <row r="11" spans="1:6" ht="13.5" thickBot="1" x14ac:dyDescent="0.25">
      <c r="A11" s="949" t="s">
        <v>30</v>
      </c>
      <c r="B11" s="949"/>
      <c r="C11" s="949"/>
      <c r="D11" s="532">
        <f>SUM(D7:D10)</f>
        <v>17903476</v>
      </c>
    </row>
    <row r="12" spans="1:6" x14ac:dyDescent="0.2">
      <c r="A12" s="474"/>
      <c r="B12" s="474"/>
      <c r="C12" s="474"/>
      <c r="D12" s="818"/>
    </row>
    <row r="13" spans="1:6" x14ac:dyDescent="0.2">
      <c r="A13" s="474"/>
      <c r="B13" s="474"/>
      <c r="C13" s="474"/>
      <c r="D13" s="819"/>
    </row>
    <row r="14" spans="1:6" ht="15.75" x14ac:dyDescent="0.25">
      <c r="A14" s="948" t="s">
        <v>102</v>
      </c>
      <c r="B14" s="950"/>
      <c r="C14" s="950"/>
      <c r="D14" s="950"/>
    </row>
    <row r="15" spans="1:6" ht="13.5" thickBot="1" x14ac:dyDescent="0.25">
      <c r="A15" s="478"/>
      <c r="B15" s="478"/>
      <c r="C15" s="478"/>
      <c r="D15" s="476" t="s">
        <v>52</v>
      </c>
    </row>
    <row r="16" spans="1:6" ht="26.25" thickBot="1" x14ac:dyDescent="0.25">
      <c r="A16" s="825" t="s">
        <v>537</v>
      </c>
      <c r="B16" s="826" t="s">
        <v>260</v>
      </c>
      <c r="C16" s="805" t="s">
        <v>53</v>
      </c>
      <c r="D16" s="827" t="s">
        <v>403</v>
      </c>
    </row>
    <row r="17" spans="1:5" ht="13.5" thickBot="1" x14ac:dyDescent="0.25">
      <c r="A17" s="470" t="s">
        <v>18</v>
      </c>
      <c r="B17" s="479" t="s">
        <v>262</v>
      </c>
      <c r="C17" s="471" t="s">
        <v>529</v>
      </c>
      <c r="D17" s="530">
        <f>1362220+367780</f>
        <v>1730000</v>
      </c>
    </row>
    <row r="18" spans="1:5" ht="13.5" thickBot="1" x14ac:dyDescent="0.25">
      <c r="A18" s="470"/>
      <c r="B18" s="820" t="s">
        <v>262</v>
      </c>
      <c r="C18" s="821" t="s">
        <v>528</v>
      </c>
      <c r="D18" s="822">
        <f>686600+185400</f>
        <v>872000</v>
      </c>
    </row>
    <row r="19" spans="1:5" ht="13.5" thickBot="1" x14ac:dyDescent="0.25">
      <c r="A19" s="470" t="s">
        <v>22</v>
      </c>
      <c r="B19" s="480" t="s">
        <v>262</v>
      </c>
      <c r="C19" s="472" t="s">
        <v>530</v>
      </c>
      <c r="D19" s="531">
        <v>1330000</v>
      </c>
    </row>
    <row r="20" spans="1:5" ht="13.5" thickBot="1" x14ac:dyDescent="0.25">
      <c r="A20" s="470" t="s">
        <v>26</v>
      </c>
      <c r="B20" s="480" t="s">
        <v>456</v>
      </c>
      <c r="C20" s="472" t="s">
        <v>531</v>
      </c>
      <c r="D20" s="531">
        <f>8858438+2391778</f>
        <v>11250216</v>
      </c>
      <c r="E20" s="127"/>
    </row>
    <row r="21" spans="1:5" ht="13.5" thickBot="1" x14ac:dyDescent="0.25">
      <c r="A21" s="470" t="s">
        <v>20</v>
      </c>
      <c r="B21" s="480" t="s">
        <v>317</v>
      </c>
      <c r="C21" s="472" t="s">
        <v>457</v>
      </c>
      <c r="D21" s="531">
        <f>7874000+2126000</f>
        <v>10000000</v>
      </c>
    </row>
    <row r="22" spans="1:5" ht="13.5" thickBot="1" x14ac:dyDescent="0.25">
      <c r="A22" s="470" t="s">
        <v>23</v>
      </c>
      <c r="B22" s="477" t="s">
        <v>317</v>
      </c>
      <c r="C22" s="472" t="s">
        <v>455</v>
      </c>
      <c r="D22" s="531">
        <f>1550500+418635</f>
        <v>1969135</v>
      </c>
    </row>
    <row r="23" spans="1:5" ht="13.5" thickBot="1" x14ac:dyDescent="0.25">
      <c r="A23" s="470" t="s">
        <v>21</v>
      </c>
      <c r="B23" s="477" t="s">
        <v>317</v>
      </c>
      <c r="C23" s="472" t="s">
        <v>419</v>
      </c>
      <c r="D23" s="534">
        <f>39762598+10735902</f>
        <v>50498500</v>
      </c>
    </row>
    <row r="24" spans="1:5" ht="13.5" thickBot="1" x14ac:dyDescent="0.25">
      <c r="A24" s="470" t="s">
        <v>19</v>
      </c>
      <c r="B24" s="477" t="s">
        <v>316</v>
      </c>
      <c r="C24" s="472" t="s">
        <v>454</v>
      </c>
      <c r="D24" s="534">
        <f>7130983+1925366</f>
        <v>9056349</v>
      </c>
    </row>
    <row r="25" spans="1:5" ht="13.5" thickBot="1" x14ac:dyDescent="0.25">
      <c r="A25" s="470" t="s">
        <v>25</v>
      </c>
      <c r="B25" s="477" t="s">
        <v>372</v>
      </c>
      <c r="C25" s="472" t="s">
        <v>458</v>
      </c>
      <c r="D25" s="534">
        <v>254000</v>
      </c>
    </row>
    <row r="26" spans="1:5" ht="13.5" thickBot="1" x14ac:dyDescent="0.25">
      <c r="A26" s="470" t="s">
        <v>42</v>
      </c>
      <c r="B26" s="477" t="s">
        <v>261</v>
      </c>
      <c r="C26" s="472" t="s">
        <v>526</v>
      </c>
      <c r="D26" s="534">
        <f>17789009+4803033</f>
        <v>22592042</v>
      </c>
    </row>
    <row r="27" spans="1:5" ht="13.5" thickBot="1" x14ac:dyDescent="0.25">
      <c r="A27" s="470" t="s">
        <v>32</v>
      </c>
      <c r="B27" s="477" t="s">
        <v>261</v>
      </c>
      <c r="C27" s="472" t="s">
        <v>461</v>
      </c>
      <c r="D27" s="534">
        <f>37352243+10085105</f>
        <v>47437348</v>
      </c>
    </row>
    <row r="28" spans="1:5" ht="13.5" thickBot="1" x14ac:dyDescent="0.25">
      <c r="A28" s="470" t="s">
        <v>90</v>
      </c>
      <c r="B28" s="477" t="s">
        <v>261</v>
      </c>
      <c r="C28" s="472" t="s">
        <v>444</v>
      </c>
      <c r="D28" s="534">
        <f>381616274+103036394</f>
        <v>484652668</v>
      </c>
    </row>
    <row r="29" spans="1:5" ht="13.5" thickBot="1" x14ac:dyDescent="0.25">
      <c r="A29" s="470"/>
      <c r="B29" s="477" t="s">
        <v>261</v>
      </c>
      <c r="C29" s="472" t="s">
        <v>527</v>
      </c>
      <c r="D29" s="534">
        <f>12931192+3491422</f>
        <v>16422614</v>
      </c>
    </row>
    <row r="30" spans="1:5" ht="13.5" thickBot="1" x14ac:dyDescent="0.25">
      <c r="A30" s="470" t="s">
        <v>93</v>
      </c>
      <c r="B30" s="477" t="s">
        <v>261</v>
      </c>
      <c r="C30" s="472" t="s">
        <v>435</v>
      </c>
      <c r="D30" s="534">
        <f>39968767+464815</f>
        <v>40433582</v>
      </c>
    </row>
    <row r="31" spans="1:5" ht="26.25" thickBot="1" x14ac:dyDescent="0.25">
      <c r="A31" s="470" t="s">
        <v>91</v>
      </c>
      <c r="B31" s="477" t="s">
        <v>261</v>
      </c>
      <c r="C31" s="704" t="s">
        <v>433</v>
      </c>
      <c r="D31" s="534">
        <f>15917525+2126</f>
        <v>15919651</v>
      </c>
      <c r="E31" s="127"/>
    </row>
    <row r="32" spans="1:5" ht="13.5" thickBot="1" x14ac:dyDescent="0.25">
      <c r="A32" s="470" t="s">
        <v>92</v>
      </c>
      <c r="B32" s="477" t="s">
        <v>459</v>
      </c>
      <c r="C32" s="704" t="s">
        <v>460</v>
      </c>
      <c r="D32" s="534">
        <f>81880298+22107681</f>
        <v>103987979</v>
      </c>
    </row>
    <row r="33" spans="1:4" ht="13.5" thickBot="1" x14ac:dyDescent="0.25">
      <c r="A33" s="470" t="s">
        <v>95</v>
      </c>
      <c r="B33" s="477" t="s">
        <v>443</v>
      </c>
      <c r="C33" s="472" t="s">
        <v>442</v>
      </c>
      <c r="D33" s="534">
        <f>609790566+1509979</f>
        <v>611300545</v>
      </c>
    </row>
    <row r="34" spans="1:4" ht="13.5" thickBot="1" x14ac:dyDescent="0.25">
      <c r="A34" s="470" t="s">
        <v>96</v>
      </c>
      <c r="B34" s="477" t="s">
        <v>420</v>
      </c>
      <c r="C34" s="472" t="s">
        <v>453</v>
      </c>
      <c r="D34" s="534">
        <v>38100</v>
      </c>
    </row>
    <row r="35" spans="1:4" x14ac:dyDescent="0.2">
      <c r="A35" s="470" t="s">
        <v>97</v>
      </c>
      <c r="B35" s="477" t="s">
        <v>532</v>
      </c>
      <c r="C35" s="472" t="s">
        <v>533</v>
      </c>
      <c r="D35" s="534">
        <f>3590464</f>
        <v>3590464</v>
      </c>
    </row>
    <row r="36" spans="1:4" ht="13.5" thickBot="1" x14ac:dyDescent="0.25">
      <c r="A36" s="951" t="s">
        <v>30</v>
      </c>
      <c r="B36" s="952"/>
      <c r="C36" s="953"/>
      <c r="D36" s="533">
        <f>SUM(D17:D35)</f>
        <v>1433335193</v>
      </c>
    </row>
    <row r="37" spans="1:4" x14ac:dyDescent="0.2">
      <c r="D37" s="136"/>
    </row>
    <row r="38" spans="1:4" x14ac:dyDescent="0.2">
      <c r="D38" s="705"/>
    </row>
    <row r="39" spans="1:4" x14ac:dyDescent="0.2">
      <c r="D39" s="127"/>
    </row>
  </sheetData>
  <mergeCells count="4">
    <mergeCell ref="A4:D4"/>
    <mergeCell ref="A11:C11"/>
    <mergeCell ref="A14:D14"/>
    <mergeCell ref="A36:C36"/>
  </mergeCells>
  <phoneticPr fontId="39" type="noConversion"/>
  <pageMargins left="0.7" right="0.7" top="0.75" bottom="0.75" header="0.3" footer="0.3"/>
  <pageSetup paperSize="9" scale="72" orientation="portrait" r:id="rId1"/>
  <headerFooter>
    <oddHeader xml:space="preserve">&amp;R5. sz. melléklet
.../2020. (...) Egyek Önk.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BreakPreview" topLeftCell="A4" zoomScale="60" zoomScaleNormal="110" workbookViewId="0">
      <selection activeCell="B12" sqref="B12"/>
    </sheetView>
  </sheetViews>
  <sheetFormatPr defaultRowHeight="12.75" x14ac:dyDescent="0.2"/>
  <cols>
    <col min="1" max="1" width="62.140625" customWidth="1"/>
    <col min="2" max="2" width="17" customWidth="1"/>
    <col min="3" max="3" width="18.5703125" style="641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878" t="s">
        <v>493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86.25" customHeight="1" thickBot="1" x14ac:dyDescent="0.25">
      <c r="A6" s="879" t="s">
        <v>180</v>
      </c>
      <c r="B6" s="673" t="s">
        <v>159</v>
      </c>
      <c r="C6" s="800" t="s">
        <v>165</v>
      </c>
      <c r="D6" s="673" t="s">
        <v>178</v>
      </c>
      <c r="E6" s="673" t="s">
        <v>157</v>
      </c>
      <c r="F6" s="673" t="s">
        <v>179</v>
      </c>
      <c r="G6" s="673" t="s">
        <v>176</v>
      </c>
      <c r="H6" s="673" t="s">
        <v>167</v>
      </c>
      <c r="I6" s="673" t="s">
        <v>174</v>
      </c>
      <c r="J6" s="674" t="s">
        <v>30</v>
      </c>
    </row>
    <row r="7" spans="1:10" ht="25.5" customHeight="1" thickBot="1" x14ac:dyDescent="0.25">
      <c r="A7" s="880"/>
      <c r="B7" s="782" t="s">
        <v>488</v>
      </c>
      <c r="C7" s="801" t="s">
        <v>488</v>
      </c>
      <c r="D7" s="782" t="s">
        <v>488</v>
      </c>
      <c r="E7" s="782" t="s">
        <v>488</v>
      </c>
      <c r="F7" s="782" t="s">
        <v>488</v>
      </c>
      <c r="G7" s="782" t="s">
        <v>488</v>
      </c>
      <c r="H7" s="782" t="s">
        <v>488</v>
      </c>
      <c r="I7" s="782" t="s">
        <v>488</v>
      </c>
      <c r="J7" s="201" t="s">
        <v>488</v>
      </c>
    </row>
    <row r="8" spans="1:10" s="395" customFormat="1" ht="27.75" customHeight="1" thickBot="1" x14ac:dyDescent="0.25">
      <c r="A8" s="463" t="s">
        <v>368</v>
      </c>
      <c r="B8" s="787"/>
      <c r="C8" s="789"/>
      <c r="D8" s="788"/>
      <c r="E8" s="789">
        <v>3234000</v>
      </c>
      <c r="F8" s="788"/>
      <c r="G8" s="788">
        <v>17224731</v>
      </c>
      <c r="H8" s="788"/>
      <c r="I8" s="790">
        <v>280320</v>
      </c>
      <c r="J8" s="780">
        <f>SUM(B8:I8)</f>
        <v>20739051</v>
      </c>
    </row>
    <row r="9" spans="1:10" ht="13.5" thickBot="1" x14ac:dyDescent="0.25">
      <c r="A9" s="398" t="s">
        <v>189</v>
      </c>
      <c r="B9" s="791"/>
      <c r="C9" s="341">
        <v>9556702</v>
      </c>
      <c r="D9" s="424"/>
      <c r="E9" s="341">
        <v>1396000</v>
      </c>
      <c r="F9" s="424"/>
      <c r="G9" s="341"/>
      <c r="H9" s="424"/>
      <c r="I9" s="792"/>
      <c r="J9" s="780">
        <f t="shared" ref="J9:J26" si="0">SUM(B9:I9)</f>
        <v>10952702</v>
      </c>
    </row>
    <row r="10" spans="1:10" ht="27.75" customHeight="1" thickBot="1" x14ac:dyDescent="0.25">
      <c r="A10" s="397" t="s">
        <v>182</v>
      </c>
      <c r="B10" s="793"/>
      <c r="C10" s="263"/>
      <c r="D10" s="263"/>
      <c r="E10" s="263">
        <v>34896007</v>
      </c>
      <c r="F10" s="263">
        <v>21112694</v>
      </c>
      <c r="G10" s="263"/>
      <c r="H10" s="263"/>
      <c r="I10" s="794">
        <v>29209760</v>
      </c>
      <c r="J10" s="780">
        <f t="shared" si="0"/>
        <v>85218461</v>
      </c>
    </row>
    <row r="11" spans="1:10" s="113" customFormat="1" ht="15.75" customHeight="1" thickBot="1" x14ac:dyDescent="0.25">
      <c r="A11" s="396" t="s">
        <v>184</v>
      </c>
      <c r="B11" s="793">
        <v>336750171</v>
      </c>
      <c r="C11" s="263"/>
      <c r="D11" s="263"/>
      <c r="E11" s="784"/>
      <c r="F11" s="263"/>
      <c r="G11" s="784"/>
      <c r="H11" s="784"/>
      <c r="I11" s="794">
        <v>10353836</v>
      </c>
      <c r="J11" s="780">
        <f t="shared" si="0"/>
        <v>347104007</v>
      </c>
    </row>
    <row r="12" spans="1:10" s="113" customFormat="1" ht="15.75" customHeight="1" thickBot="1" x14ac:dyDescent="0.25">
      <c r="A12" s="398" t="s">
        <v>494</v>
      </c>
      <c r="B12" s="793"/>
      <c r="C12" s="263"/>
      <c r="D12" s="263"/>
      <c r="E12" s="784"/>
      <c r="F12" s="263"/>
      <c r="G12" s="784"/>
      <c r="H12" s="784"/>
      <c r="I12" s="794">
        <v>2183606</v>
      </c>
      <c r="J12" s="780">
        <f t="shared" si="0"/>
        <v>2183606</v>
      </c>
    </row>
    <row r="13" spans="1:10" ht="13.5" thickBot="1" x14ac:dyDescent="0.25">
      <c r="A13" s="398" t="s">
        <v>188</v>
      </c>
      <c r="B13" s="791"/>
      <c r="C13" s="341"/>
      <c r="D13" s="424"/>
      <c r="E13" s="341">
        <v>18103400</v>
      </c>
      <c r="F13" s="424"/>
      <c r="G13" s="424"/>
      <c r="H13" s="424"/>
      <c r="I13" s="792">
        <v>65406585</v>
      </c>
      <c r="J13" s="780">
        <f t="shared" si="0"/>
        <v>83509985</v>
      </c>
    </row>
    <row r="14" spans="1:10" ht="15.75" customHeight="1" thickBot="1" x14ac:dyDescent="0.25">
      <c r="A14" s="397" t="s">
        <v>367</v>
      </c>
      <c r="B14" s="793"/>
      <c r="C14" s="263"/>
      <c r="D14" s="263"/>
      <c r="E14" s="263">
        <v>14860000</v>
      </c>
      <c r="F14" s="263"/>
      <c r="G14" s="263"/>
      <c r="H14" s="263"/>
      <c r="I14" s="794"/>
      <c r="J14" s="780">
        <f t="shared" si="0"/>
        <v>14860000</v>
      </c>
    </row>
    <row r="15" spans="1:10" ht="13.5" thickBot="1" x14ac:dyDescent="0.25">
      <c r="A15" s="396" t="s">
        <v>306</v>
      </c>
      <c r="B15" s="793"/>
      <c r="C15" s="263">
        <v>660692457</v>
      </c>
      <c r="D15" s="263"/>
      <c r="E15" s="263"/>
      <c r="F15" s="263"/>
      <c r="G15" s="263"/>
      <c r="H15" s="263"/>
      <c r="I15" s="794">
        <v>4009439</v>
      </c>
      <c r="J15" s="780">
        <f t="shared" si="0"/>
        <v>664701896</v>
      </c>
    </row>
    <row r="16" spans="1:10" ht="13.5" thickBot="1" x14ac:dyDescent="0.25">
      <c r="A16" s="396" t="s">
        <v>446</v>
      </c>
      <c r="B16" s="793"/>
      <c r="C16" s="263">
        <v>50636924</v>
      </c>
      <c r="D16" s="263"/>
      <c r="E16" s="263"/>
      <c r="F16" s="263"/>
      <c r="G16" s="263"/>
      <c r="H16" s="263"/>
      <c r="I16" s="794">
        <v>16668781</v>
      </c>
      <c r="J16" s="780">
        <f t="shared" si="0"/>
        <v>67305705</v>
      </c>
    </row>
    <row r="17" spans="1:10" ht="18" customHeight="1" thickBot="1" x14ac:dyDescent="0.25">
      <c r="A17" s="397" t="s">
        <v>376</v>
      </c>
      <c r="B17" s="793"/>
      <c r="C17" s="263">
        <v>774434019</v>
      </c>
      <c r="D17" s="263"/>
      <c r="E17" s="263"/>
      <c r="F17" s="263"/>
      <c r="G17" s="263"/>
      <c r="H17" s="263"/>
      <c r="I17" s="794"/>
      <c r="J17" s="780">
        <f t="shared" si="0"/>
        <v>774434019</v>
      </c>
    </row>
    <row r="18" spans="1:10" ht="13.5" thickBot="1" x14ac:dyDescent="0.25">
      <c r="A18" s="396" t="s">
        <v>183</v>
      </c>
      <c r="B18" s="793">
        <v>1024000</v>
      </c>
      <c r="C18" s="263"/>
      <c r="D18" s="263"/>
      <c r="E18" s="263">
        <v>110000</v>
      </c>
      <c r="F18" s="263"/>
      <c r="G18" s="263"/>
      <c r="H18" s="263"/>
      <c r="I18" s="794"/>
      <c r="J18" s="780">
        <f t="shared" si="0"/>
        <v>1134000</v>
      </c>
    </row>
    <row r="19" spans="1:10" ht="13.5" thickBot="1" x14ac:dyDescent="0.25">
      <c r="A19" s="398" t="s">
        <v>218</v>
      </c>
      <c r="B19" s="793"/>
      <c r="C19" s="263"/>
      <c r="D19" s="263"/>
      <c r="E19" s="263">
        <v>1540000</v>
      </c>
      <c r="F19" s="263"/>
      <c r="G19" s="263"/>
      <c r="H19" s="263"/>
      <c r="I19" s="794"/>
      <c r="J19" s="780">
        <f t="shared" si="0"/>
        <v>1540000</v>
      </c>
    </row>
    <row r="20" spans="1:10" ht="13.5" thickBot="1" x14ac:dyDescent="0.25">
      <c r="A20" s="398" t="s">
        <v>447</v>
      </c>
      <c r="B20" s="793"/>
      <c r="C20" s="263"/>
      <c r="D20" s="263"/>
      <c r="E20" s="263">
        <v>770000</v>
      </c>
      <c r="F20" s="263"/>
      <c r="G20" s="263"/>
      <c r="H20" s="263"/>
      <c r="I20" s="794"/>
      <c r="J20" s="780">
        <f t="shared" si="0"/>
        <v>770000</v>
      </c>
    </row>
    <row r="21" spans="1:10" s="94" customFormat="1" ht="13.5" thickBot="1" x14ac:dyDescent="0.25">
      <c r="A21" s="711" t="s">
        <v>194</v>
      </c>
      <c r="B21" s="795"/>
      <c r="C21" s="785"/>
      <c r="D21" s="786"/>
      <c r="E21" s="785"/>
      <c r="F21" s="786"/>
      <c r="G21" s="786"/>
      <c r="H21" s="786"/>
      <c r="I21" s="796">
        <v>2000000</v>
      </c>
      <c r="J21" s="781">
        <f t="shared" si="0"/>
        <v>2000000</v>
      </c>
    </row>
    <row r="22" spans="1:10" ht="13.5" thickBot="1" x14ac:dyDescent="0.25">
      <c r="A22" s="398" t="s">
        <v>495</v>
      </c>
      <c r="B22" s="791">
        <v>1769451</v>
      </c>
      <c r="C22" s="341"/>
      <c r="D22" s="424"/>
      <c r="E22" s="341"/>
      <c r="F22" s="424"/>
      <c r="G22" s="424"/>
      <c r="H22" s="424"/>
      <c r="I22" s="792"/>
      <c r="J22" s="780">
        <f t="shared" si="0"/>
        <v>1769451</v>
      </c>
    </row>
    <row r="23" spans="1:10" ht="13.5" thickBot="1" x14ac:dyDescent="0.25">
      <c r="A23" s="398" t="s">
        <v>187</v>
      </c>
      <c r="B23" s="791"/>
      <c r="C23" s="341"/>
      <c r="D23" s="424"/>
      <c r="E23" s="341">
        <v>2540</v>
      </c>
      <c r="F23" s="424"/>
      <c r="G23" s="424"/>
      <c r="H23" s="424"/>
      <c r="I23" s="792"/>
      <c r="J23" s="780">
        <f t="shared" si="0"/>
        <v>2540</v>
      </c>
    </row>
    <row r="24" spans="1:10" ht="13.5" thickBot="1" x14ac:dyDescent="0.25">
      <c r="A24" s="398" t="s">
        <v>534</v>
      </c>
      <c r="B24" s="791">
        <v>29474978</v>
      </c>
      <c r="C24" s="341">
        <v>7180928</v>
      </c>
      <c r="D24" s="424"/>
      <c r="E24" s="341"/>
      <c r="F24" s="424"/>
      <c r="G24" s="341"/>
      <c r="H24" s="424"/>
      <c r="I24" s="792">
        <v>23200868</v>
      </c>
      <c r="J24" s="780">
        <f>SUM(B24:I24)</f>
        <v>59856774</v>
      </c>
    </row>
    <row r="25" spans="1:10" ht="30" customHeight="1" thickBot="1" x14ac:dyDescent="0.25">
      <c r="A25" s="397" t="s">
        <v>185</v>
      </c>
      <c r="B25" s="793"/>
      <c r="C25" s="263"/>
      <c r="D25" s="263">
        <v>97402000</v>
      </c>
      <c r="E25" s="263"/>
      <c r="F25" s="263"/>
      <c r="G25" s="263"/>
      <c r="H25" s="263"/>
      <c r="I25" s="794"/>
      <c r="J25" s="780">
        <f t="shared" si="0"/>
        <v>97402000</v>
      </c>
    </row>
    <row r="26" spans="1:10" ht="13.5" thickBot="1" x14ac:dyDescent="0.25">
      <c r="A26" s="396" t="s">
        <v>186</v>
      </c>
      <c r="B26" s="797"/>
      <c r="C26" s="345"/>
      <c r="D26" s="798"/>
      <c r="E26" s="345"/>
      <c r="F26" s="798"/>
      <c r="G26" s="345"/>
      <c r="H26" s="798"/>
      <c r="I26" s="799">
        <v>56729897</v>
      </c>
      <c r="J26" s="780">
        <f t="shared" si="0"/>
        <v>56729897</v>
      </c>
    </row>
    <row r="27" spans="1:10" s="204" customFormat="1" ht="13.5" thickBot="1" x14ac:dyDescent="0.25">
      <c r="A27" s="399" t="s">
        <v>30</v>
      </c>
      <c r="B27" s="783">
        <f t="shared" ref="B27:J27" si="1">SUM(B8:B26)</f>
        <v>369018600</v>
      </c>
      <c r="C27" s="802">
        <f t="shared" si="1"/>
        <v>1502501030</v>
      </c>
      <c r="D27" s="803">
        <f t="shared" si="1"/>
        <v>97402000</v>
      </c>
      <c r="E27" s="803">
        <f t="shared" si="1"/>
        <v>74911947</v>
      </c>
      <c r="F27" s="803">
        <f t="shared" si="1"/>
        <v>21112694</v>
      </c>
      <c r="G27" s="803">
        <f t="shared" si="1"/>
        <v>17224731</v>
      </c>
      <c r="H27" s="803">
        <f t="shared" si="1"/>
        <v>0</v>
      </c>
      <c r="I27" s="803">
        <f t="shared" si="1"/>
        <v>210043092</v>
      </c>
      <c r="J27" s="675">
        <f t="shared" si="1"/>
        <v>2292214094</v>
      </c>
    </row>
    <row r="30" spans="1:10" x14ac:dyDescent="0.2">
      <c r="B30" s="641"/>
    </row>
    <row r="32" spans="1:10" x14ac:dyDescent="0.2">
      <c r="B32" s="641"/>
    </row>
  </sheetData>
  <mergeCells count="2">
    <mergeCell ref="A1:J2"/>
    <mergeCell ref="A6:A7"/>
  </mergeCells>
  <phoneticPr fontId="39" type="noConversion"/>
  <pageMargins left="0.75" right="0.75" top="1" bottom="1" header="0.5" footer="0.5"/>
  <pageSetup paperSize="9" scale="61" orientation="landscape" r:id="rId1"/>
  <headerFooter alignWithMargins="0">
    <oddHeader>&amp;R2/1.sz. melléklete
...../2020. (......)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opLeftCell="A12" zoomScale="130" zoomScaleNormal="130" zoomScaleSheetLayoutView="110" workbookViewId="0">
      <selection activeCell="N12" sqref="N12"/>
    </sheetView>
  </sheetViews>
  <sheetFormatPr defaultRowHeight="12.75" x14ac:dyDescent="0.2"/>
  <cols>
    <col min="2" max="2" width="20.42578125" bestFit="1" customWidth="1"/>
    <col min="3" max="3" width="8.7109375" bestFit="1" customWidth="1"/>
    <col min="4" max="4" width="18.28515625" bestFit="1" customWidth="1"/>
    <col min="5" max="5" width="14.85546875" customWidth="1"/>
    <col min="6" max="6" width="12.28515625" customWidth="1"/>
    <col min="7" max="7" width="10.140625" bestFit="1" customWidth="1"/>
    <col min="8" max="8" width="12.85546875" customWidth="1"/>
    <col min="9" max="9" width="15" customWidth="1"/>
  </cols>
  <sheetData>
    <row r="1" spans="1:9" s="486" customFormat="1" ht="69" customHeight="1" x14ac:dyDescent="0.25">
      <c r="A1" s="955" t="s">
        <v>373</v>
      </c>
      <c r="B1" s="955"/>
      <c r="C1" s="955"/>
      <c r="D1" s="955"/>
      <c r="E1" s="955"/>
      <c r="F1" s="955"/>
      <c r="G1" s="955"/>
      <c r="H1" s="955"/>
      <c r="I1" s="955"/>
    </row>
    <row r="2" spans="1:9" s="486" customFormat="1" ht="69" customHeight="1" thickBot="1" x14ac:dyDescent="0.25">
      <c r="A2" s="481"/>
      <c r="B2" s="482"/>
      <c r="C2" s="483"/>
      <c r="D2" s="483"/>
      <c r="E2" s="483"/>
      <c r="F2" s="483"/>
      <c r="G2" s="483"/>
      <c r="H2" s="483"/>
      <c r="I2" s="484" t="s">
        <v>414</v>
      </c>
    </row>
    <row r="3" spans="1:9" s="487" customFormat="1" ht="69" customHeight="1" thickBot="1" x14ac:dyDescent="0.25">
      <c r="A3" s="956" t="s">
        <v>72</v>
      </c>
      <c r="B3" s="958" t="s">
        <v>84</v>
      </c>
      <c r="C3" s="960" t="s">
        <v>85</v>
      </c>
      <c r="D3" s="960" t="s">
        <v>566</v>
      </c>
      <c r="E3" s="962" t="s">
        <v>86</v>
      </c>
      <c r="F3" s="962"/>
      <c r="G3" s="962"/>
      <c r="H3" s="962"/>
      <c r="I3" s="963" t="s">
        <v>41</v>
      </c>
    </row>
    <row r="4" spans="1:9" s="487" customFormat="1" ht="24.75" customHeight="1" thickBot="1" x14ac:dyDescent="0.25">
      <c r="A4" s="957"/>
      <c r="B4" s="959"/>
      <c r="C4" s="959"/>
      <c r="D4" s="961"/>
      <c r="E4" s="485" t="s">
        <v>401</v>
      </c>
      <c r="F4" s="485" t="s">
        <v>426</v>
      </c>
      <c r="G4" s="485" t="s">
        <v>462</v>
      </c>
      <c r="H4" s="485" t="s">
        <v>567</v>
      </c>
      <c r="I4" s="964"/>
    </row>
    <row r="5" spans="1:9" s="488" customFormat="1" ht="34.5" thickBot="1" x14ac:dyDescent="0.25">
      <c r="A5" s="721" t="s">
        <v>18</v>
      </c>
      <c r="B5" s="722" t="s">
        <v>87</v>
      </c>
      <c r="C5" s="723" t="s">
        <v>327</v>
      </c>
      <c r="D5" s="724" t="s">
        <v>327</v>
      </c>
      <c r="E5" s="723" t="s">
        <v>327</v>
      </c>
      <c r="F5" s="723" t="s">
        <v>327</v>
      </c>
      <c r="G5" s="723" t="s">
        <v>327</v>
      </c>
      <c r="H5" s="723" t="s">
        <v>327</v>
      </c>
      <c r="I5" s="725" t="s">
        <v>327</v>
      </c>
    </row>
    <row r="6" spans="1:9" s="488" customFormat="1" ht="37.5" customHeight="1" thickBot="1" x14ac:dyDescent="0.25">
      <c r="A6" s="726" t="s">
        <v>79</v>
      </c>
      <c r="B6" s="727" t="s">
        <v>147</v>
      </c>
      <c r="C6" s="728" t="s">
        <v>327</v>
      </c>
      <c r="D6" s="729" t="s">
        <v>327</v>
      </c>
      <c r="E6" s="730" t="s">
        <v>327</v>
      </c>
      <c r="F6" s="730" t="s">
        <v>327</v>
      </c>
      <c r="G6" s="730" t="s">
        <v>327</v>
      </c>
      <c r="H6" s="730" t="s">
        <v>327</v>
      </c>
      <c r="I6" s="731" t="s">
        <v>327</v>
      </c>
    </row>
    <row r="7" spans="1:9" s="488" customFormat="1" ht="43.5" customHeight="1" thickBot="1" x14ac:dyDescent="0.25">
      <c r="A7" s="721" t="s">
        <v>22</v>
      </c>
      <c r="B7" s="732" t="s">
        <v>88</v>
      </c>
      <c r="C7" s="723"/>
      <c r="D7" s="723">
        <f>SUM(D8:D20)</f>
        <v>53342727</v>
      </c>
      <c r="E7" s="723">
        <f>SUM(E8:E20)</f>
        <v>19876164</v>
      </c>
      <c r="F7" s="723">
        <f>SUM(F8:F20)</f>
        <v>22995221</v>
      </c>
      <c r="G7" s="723">
        <f t="shared" ref="G7:I7" si="0">SUM(G8:G20)</f>
        <v>22262741</v>
      </c>
      <c r="H7" s="723">
        <f t="shared" si="0"/>
        <v>21551945</v>
      </c>
      <c r="I7" s="846">
        <f t="shared" si="0"/>
        <v>140028798</v>
      </c>
    </row>
    <row r="8" spans="1:9" s="668" customFormat="1" ht="75.75" customHeight="1" x14ac:dyDescent="0.2">
      <c r="A8" s="733" t="s">
        <v>80</v>
      </c>
      <c r="B8" s="734" t="s">
        <v>349</v>
      </c>
      <c r="C8" s="735" t="s">
        <v>112</v>
      </c>
      <c r="D8" s="736">
        <f>8457956+2457068+E8</f>
        <v>13270131</v>
      </c>
      <c r="E8" s="736">
        <v>2355107</v>
      </c>
      <c r="F8" s="736">
        <v>2269936</v>
      </c>
      <c r="G8" s="736">
        <v>2185828</v>
      </c>
      <c r="H8" s="736">
        <v>2104836</v>
      </c>
      <c r="I8" s="737">
        <f t="shared" ref="I8:I17" si="1">SUM(D8:H8)</f>
        <v>22185838</v>
      </c>
    </row>
    <row r="9" spans="1:9" s="668" customFormat="1" ht="40.5" customHeight="1" x14ac:dyDescent="0.2">
      <c r="A9" s="738" t="s">
        <v>81</v>
      </c>
      <c r="B9" s="670" t="s">
        <v>415</v>
      </c>
      <c r="C9" s="739" t="s">
        <v>416</v>
      </c>
      <c r="D9" s="740">
        <f>1607060+1315461+E9</f>
        <v>4165544</v>
      </c>
      <c r="E9" s="740">
        <v>1243023</v>
      </c>
      <c r="F9" s="740">
        <v>1200711</v>
      </c>
      <c r="G9" s="740">
        <v>1159181</v>
      </c>
      <c r="H9" s="740">
        <v>1119087</v>
      </c>
      <c r="I9" s="737">
        <f t="shared" si="1"/>
        <v>8887546</v>
      </c>
    </row>
    <row r="10" spans="1:9" s="668" customFormat="1" ht="52.5" customHeight="1" x14ac:dyDescent="0.2">
      <c r="A10" s="738" t="s">
        <v>82</v>
      </c>
      <c r="B10" s="670" t="s">
        <v>328</v>
      </c>
      <c r="C10" s="739" t="s">
        <v>112</v>
      </c>
      <c r="D10" s="740">
        <f>4205165+1230529+E10</f>
        <v>6594412</v>
      </c>
      <c r="E10" s="740">
        <v>1158718</v>
      </c>
      <c r="F10" s="740">
        <v>1116616</v>
      </c>
      <c r="G10" s="740">
        <v>1075080</v>
      </c>
      <c r="H10" s="740">
        <v>1035089</v>
      </c>
      <c r="I10" s="737">
        <f t="shared" si="1"/>
        <v>10979915</v>
      </c>
    </row>
    <row r="11" spans="1:9" s="668" customFormat="1" ht="56.25" x14ac:dyDescent="0.2">
      <c r="A11" s="738" t="s">
        <v>83</v>
      </c>
      <c r="B11" s="670" t="s">
        <v>329</v>
      </c>
      <c r="C11" s="739" t="s">
        <v>112</v>
      </c>
      <c r="D11" s="740">
        <f>152846+38903+E11</f>
        <v>230382</v>
      </c>
      <c r="E11" s="740">
        <v>38633</v>
      </c>
      <c r="F11" s="740">
        <v>37320</v>
      </c>
      <c r="G11" s="740">
        <v>36029</v>
      </c>
      <c r="H11" s="740">
        <v>34783</v>
      </c>
      <c r="I11" s="737">
        <f t="shared" si="1"/>
        <v>377147</v>
      </c>
    </row>
    <row r="12" spans="1:9" s="668" customFormat="1" ht="135" x14ac:dyDescent="0.2">
      <c r="A12" s="738" t="s">
        <v>235</v>
      </c>
      <c r="B12" s="670" t="s">
        <v>336</v>
      </c>
      <c r="C12" s="739" t="s">
        <v>112</v>
      </c>
      <c r="D12" s="740">
        <f>680190+172677+E12</f>
        <v>1017451</v>
      </c>
      <c r="E12" s="740">
        <v>164584</v>
      </c>
      <c r="F12" s="740">
        <v>158770</v>
      </c>
      <c r="G12" s="740">
        <v>153039</v>
      </c>
      <c r="H12" s="740">
        <v>147515</v>
      </c>
      <c r="I12" s="737">
        <f t="shared" si="1"/>
        <v>1641359</v>
      </c>
    </row>
    <row r="13" spans="1:9" s="668" customFormat="1" ht="22.5" x14ac:dyDescent="0.2">
      <c r="A13" s="738" t="s">
        <v>236</v>
      </c>
      <c r="B13" s="670" t="s">
        <v>330</v>
      </c>
      <c r="C13" s="739" t="s">
        <v>112</v>
      </c>
      <c r="D13" s="740">
        <f>4767104+1212586+E13</f>
        <v>7123401</v>
      </c>
      <c r="E13" s="740">
        <v>1143711</v>
      </c>
      <c r="F13" s="740">
        <v>1102901</v>
      </c>
      <c r="G13" s="740">
        <v>1062641</v>
      </c>
      <c r="H13" s="740">
        <v>1023851</v>
      </c>
      <c r="I13" s="737">
        <f t="shared" si="1"/>
        <v>11456505</v>
      </c>
    </row>
    <row r="14" spans="1:9" s="668" customFormat="1" ht="45" x14ac:dyDescent="0.2">
      <c r="A14" s="738" t="s">
        <v>353</v>
      </c>
      <c r="B14" s="670" t="s">
        <v>354</v>
      </c>
      <c r="C14" s="739" t="s">
        <v>352</v>
      </c>
      <c r="D14" s="740">
        <f>2332480+1024087+E14</f>
        <v>4323832</v>
      </c>
      <c r="E14" s="740">
        <v>967265</v>
      </c>
      <c r="F14" s="741">
        <v>933017</v>
      </c>
      <c r="G14" s="741">
        <v>899281</v>
      </c>
      <c r="H14" s="741">
        <v>866765</v>
      </c>
      <c r="I14" s="737">
        <f t="shared" si="1"/>
        <v>7990160</v>
      </c>
    </row>
    <row r="15" spans="1:9" s="668" customFormat="1" ht="69" customHeight="1" x14ac:dyDescent="0.2">
      <c r="A15" s="738" t="s">
        <v>355</v>
      </c>
      <c r="B15" s="670" t="s">
        <v>350</v>
      </c>
      <c r="C15" s="739" t="s">
        <v>352</v>
      </c>
      <c r="D15" s="740">
        <f>4041649+1866809+E15</f>
        <v>7671865</v>
      </c>
      <c r="E15" s="740">
        <v>1763407</v>
      </c>
      <c r="F15" s="741">
        <v>1701573</v>
      </c>
      <c r="G15" s="741">
        <v>1640714</v>
      </c>
      <c r="H15" s="741">
        <v>1582032</v>
      </c>
      <c r="I15" s="737">
        <f t="shared" si="1"/>
        <v>14359591</v>
      </c>
    </row>
    <row r="16" spans="1:9" s="668" customFormat="1" ht="69" customHeight="1" x14ac:dyDescent="0.2">
      <c r="A16" s="742" t="s">
        <v>356</v>
      </c>
      <c r="B16" s="743" t="s">
        <v>464</v>
      </c>
      <c r="C16" s="744" t="s">
        <v>335</v>
      </c>
      <c r="D16" s="745">
        <f>179000+E16</f>
        <v>7584704</v>
      </c>
      <c r="E16" s="745">
        <v>7405704</v>
      </c>
      <c r="F16" s="746">
        <v>7183198</v>
      </c>
      <c r="G16" s="746">
        <v>6965404</v>
      </c>
      <c r="H16" s="746">
        <v>6754213</v>
      </c>
      <c r="I16" s="737">
        <f t="shared" si="1"/>
        <v>35893223</v>
      </c>
    </row>
    <row r="17" spans="1:9" s="668" customFormat="1" ht="69" customHeight="1" x14ac:dyDescent="0.2">
      <c r="A17" s="742" t="s">
        <v>465</v>
      </c>
      <c r="B17" s="743" t="s">
        <v>569</v>
      </c>
      <c r="C17" s="744" t="s">
        <v>347</v>
      </c>
      <c r="D17" s="745"/>
      <c r="E17" s="745">
        <v>3315890</v>
      </c>
      <c r="F17" s="746">
        <v>5115377</v>
      </c>
      <c r="G17" s="746">
        <v>4970135</v>
      </c>
      <c r="H17" s="746">
        <v>4829017</v>
      </c>
      <c r="I17" s="737">
        <f t="shared" si="1"/>
        <v>18230419</v>
      </c>
    </row>
    <row r="18" spans="1:9" s="668" customFormat="1" ht="69" customHeight="1" x14ac:dyDescent="0.2">
      <c r="A18" s="742" t="s">
        <v>568</v>
      </c>
      <c r="B18" s="743" t="s">
        <v>357</v>
      </c>
      <c r="C18" s="744" t="s">
        <v>352</v>
      </c>
      <c r="D18" s="745">
        <f>703411+337472+E18</f>
        <v>1361005</v>
      </c>
      <c r="E18" s="745">
        <v>320122</v>
      </c>
      <c r="F18" s="746">
        <v>308850</v>
      </c>
      <c r="G18" s="746">
        <v>297749</v>
      </c>
      <c r="H18" s="746">
        <v>287047</v>
      </c>
      <c r="I18" s="737">
        <f t="shared" ref="I18:I20" si="2">SUM(D18:H18)</f>
        <v>2574773</v>
      </c>
    </row>
    <row r="19" spans="1:9" s="668" customFormat="1" ht="69" customHeight="1" x14ac:dyDescent="0.2">
      <c r="A19" s="742" t="s">
        <v>592</v>
      </c>
      <c r="B19" s="743" t="s">
        <v>590</v>
      </c>
      <c r="C19" s="744" t="s">
        <v>401</v>
      </c>
      <c r="D19" s="745"/>
      <c r="E19" s="745"/>
      <c r="F19" s="746">
        <v>921700</v>
      </c>
      <c r="G19" s="746">
        <v>897660</v>
      </c>
      <c r="H19" s="746">
        <v>873000</v>
      </c>
      <c r="I19" s="737">
        <f t="shared" si="2"/>
        <v>2692360</v>
      </c>
    </row>
    <row r="20" spans="1:9" s="668" customFormat="1" ht="60" customHeight="1" thickBot="1" x14ac:dyDescent="0.25">
      <c r="A20" s="742" t="s">
        <v>593</v>
      </c>
      <c r="B20" s="743" t="s">
        <v>541</v>
      </c>
      <c r="C20" s="744" t="s">
        <v>401</v>
      </c>
      <c r="D20" s="745"/>
      <c r="E20" s="745"/>
      <c r="F20" s="746">
        <v>945252</v>
      </c>
      <c r="G20" s="746">
        <v>920000</v>
      </c>
      <c r="H20" s="746">
        <v>894710</v>
      </c>
      <c r="I20" s="737">
        <f t="shared" si="2"/>
        <v>2759962</v>
      </c>
    </row>
    <row r="21" spans="1:9" s="668" customFormat="1" ht="23.25" thickBot="1" x14ac:dyDescent="0.25">
      <c r="A21" s="747" t="s">
        <v>26</v>
      </c>
      <c r="B21" s="748" t="s">
        <v>89</v>
      </c>
      <c r="C21" s="749" t="s">
        <v>327</v>
      </c>
      <c r="D21" s="749">
        <f t="shared" ref="D21:I21" si="3">SUM(D22:D36)</f>
        <v>1428098267</v>
      </c>
      <c r="E21" s="749">
        <f t="shared" si="3"/>
        <v>721542195</v>
      </c>
      <c r="F21" s="749">
        <f t="shared" si="3"/>
        <v>0</v>
      </c>
      <c r="G21" s="749">
        <f t="shared" si="3"/>
        <v>0</v>
      </c>
      <c r="H21" s="749">
        <f t="shared" si="3"/>
        <v>0</v>
      </c>
      <c r="I21" s="749">
        <f t="shared" si="3"/>
        <v>2149640462</v>
      </c>
    </row>
    <row r="22" spans="1:9" s="668" customFormat="1" ht="60.75" customHeight="1" thickBot="1" x14ac:dyDescent="0.25">
      <c r="A22" s="847" t="s">
        <v>74</v>
      </c>
      <c r="B22" s="777" t="s">
        <v>469</v>
      </c>
      <c r="C22" s="778" t="s">
        <v>335</v>
      </c>
      <c r="D22" s="778">
        <v>90154689</v>
      </c>
      <c r="E22" s="778">
        <v>15909654</v>
      </c>
      <c r="F22" s="778"/>
      <c r="G22" s="778"/>
      <c r="H22" s="778"/>
      <c r="I22" s="779">
        <f>SUM(D22:H22)</f>
        <v>106064343</v>
      </c>
    </row>
    <row r="23" spans="1:9" s="668" customFormat="1" ht="34.5" thickBot="1" x14ac:dyDescent="0.25">
      <c r="A23" s="847" t="s">
        <v>75</v>
      </c>
      <c r="B23" s="777" t="s">
        <v>467</v>
      </c>
      <c r="C23" s="778" t="s">
        <v>335</v>
      </c>
      <c r="D23" s="778">
        <v>1190677362</v>
      </c>
      <c r="E23" s="778">
        <v>553325304</v>
      </c>
      <c r="F23" s="778"/>
      <c r="G23" s="778"/>
      <c r="H23" s="778"/>
      <c r="I23" s="779">
        <f t="shared" ref="I23:I36" si="4">SUM(D23:H23)</f>
        <v>1744002666</v>
      </c>
    </row>
    <row r="24" spans="1:9" s="668" customFormat="1" ht="34.5" thickBot="1" x14ac:dyDescent="0.25">
      <c r="A24" s="847" t="s">
        <v>578</v>
      </c>
      <c r="B24" s="777" t="s">
        <v>576</v>
      </c>
      <c r="C24" s="778" t="s">
        <v>347</v>
      </c>
      <c r="D24" s="778">
        <v>3043926</v>
      </c>
      <c r="E24" s="778">
        <v>7102494</v>
      </c>
      <c r="F24" s="778"/>
      <c r="G24" s="778"/>
      <c r="H24" s="778"/>
      <c r="I24" s="779">
        <f t="shared" si="4"/>
        <v>10146420</v>
      </c>
    </row>
    <row r="25" spans="1:9" s="668" customFormat="1" ht="57" thickBot="1" x14ac:dyDescent="0.25">
      <c r="A25" s="847" t="s">
        <v>237</v>
      </c>
      <c r="B25" s="777" t="s">
        <v>475</v>
      </c>
      <c r="C25" s="778" t="s">
        <v>335</v>
      </c>
      <c r="D25" s="778">
        <v>203200</v>
      </c>
      <c r="E25" s="778">
        <v>2083435</v>
      </c>
      <c r="F25" s="778"/>
      <c r="G25" s="778"/>
      <c r="H25" s="778"/>
      <c r="I25" s="779">
        <f t="shared" si="4"/>
        <v>2286635</v>
      </c>
    </row>
    <row r="26" spans="1:9" s="668" customFormat="1" ht="45.75" thickBot="1" x14ac:dyDescent="0.25">
      <c r="A26" s="847" t="s">
        <v>238</v>
      </c>
      <c r="B26" s="777" t="s">
        <v>575</v>
      </c>
      <c r="C26" s="778" t="s">
        <v>347</v>
      </c>
      <c r="D26" s="778">
        <v>1375000</v>
      </c>
      <c r="E26" s="778">
        <v>1025750</v>
      </c>
      <c r="F26" s="778"/>
      <c r="G26" s="778"/>
      <c r="H26" s="778"/>
      <c r="I26" s="779">
        <f t="shared" si="4"/>
        <v>2400750</v>
      </c>
    </row>
    <row r="27" spans="1:9" s="668" customFormat="1" ht="79.5" thickBot="1" x14ac:dyDescent="0.25">
      <c r="A27" s="847" t="s">
        <v>358</v>
      </c>
      <c r="B27" s="777" t="s">
        <v>468</v>
      </c>
      <c r="C27" s="778" t="s">
        <v>335</v>
      </c>
      <c r="D27" s="778"/>
      <c r="E27" s="778">
        <v>170000</v>
      </c>
      <c r="F27" s="778"/>
      <c r="G27" s="778"/>
      <c r="H27" s="778"/>
      <c r="I27" s="779">
        <f t="shared" si="4"/>
        <v>170000</v>
      </c>
    </row>
    <row r="28" spans="1:9" s="668" customFormat="1" ht="45.75" thickBot="1" x14ac:dyDescent="0.25">
      <c r="A28" s="847" t="s">
        <v>430</v>
      </c>
      <c r="B28" s="777" t="s">
        <v>577</v>
      </c>
      <c r="C28" s="778" t="s">
        <v>347</v>
      </c>
      <c r="D28" s="778">
        <v>85284357</v>
      </c>
      <c r="E28" s="778">
        <v>38247232</v>
      </c>
      <c r="F28" s="778"/>
      <c r="G28" s="778"/>
      <c r="H28" s="778"/>
      <c r="I28" s="779">
        <f t="shared" si="4"/>
        <v>123531589</v>
      </c>
    </row>
    <row r="29" spans="1:9" s="668" customFormat="1" ht="45.75" thickBot="1" x14ac:dyDescent="0.25">
      <c r="A29" s="847" t="s">
        <v>466</v>
      </c>
      <c r="B29" s="777" t="s">
        <v>470</v>
      </c>
      <c r="C29" s="778" t="s">
        <v>334</v>
      </c>
      <c r="D29" s="778">
        <v>16510000</v>
      </c>
      <c r="E29" s="778">
        <v>5490000</v>
      </c>
      <c r="F29" s="778"/>
      <c r="G29" s="778"/>
      <c r="H29" s="778"/>
      <c r="I29" s="779">
        <f t="shared" si="4"/>
        <v>22000000</v>
      </c>
    </row>
    <row r="30" spans="1:9" s="668" customFormat="1" ht="57" thickBot="1" x14ac:dyDescent="0.25">
      <c r="A30" s="847" t="s">
        <v>472</v>
      </c>
      <c r="B30" s="777" t="s">
        <v>471</v>
      </c>
      <c r="C30" s="778" t="s">
        <v>334</v>
      </c>
      <c r="D30" s="778"/>
      <c r="E30" s="778">
        <v>1403350</v>
      </c>
      <c r="F30" s="778"/>
      <c r="G30" s="778"/>
      <c r="H30" s="778"/>
      <c r="I30" s="779">
        <f t="shared" si="4"/>
        <v>1403350</v>
      </c>
    </row>
    <row r="31" spans="1:9" s="668" customFormat="1" ht="57" thickBot="1" x14ac:dyDescent="0.25">
      <c r="A31" s="847" t="s">
        <v>473</v>
      </c>
      <c r="B31" s="777" t="s">
        <v>476</v>
      </c>
      <c r="C31" s="778" t="s">
        <v>334</v>
      </c>
      <c r="D31" s="778"/>
      <c r="E31" s="778">
        <v>5500000</v>
      </c>
      <c r="F31" s="778"/>
      <c r="G31" s="778"/>
      <c r="H31" s="778"/>
      <c r="I31" s="779">
        <f t="shared" si="4"/>
        <v>5500000</v>
      </c>
    </row>
    <row r="32" spans="1:9" s="668" customFormat="1" ht="79.5" thickBot="1" x14ac:dyDescent="0.25">
      <c r="A32" s="847" t="s">
        <v>474</v>
      </c>
      <c r="B32" s="777" t="s">
        <v>477</v>
      </c>
      <c r="C32" s="778" t="s">
        <v>334</v>
      </c>
      <c r="D32" s="778"/>
      <c r="E32" s="778">
        <v>4445000</v>
      </c>
      <c r="F32" s="778"/>
      <c r="G32" s="778"/>
      <c r="H32" s="778"/>
      <c r="I32" s="779">
        <f t="shared" si="4"/>
        <v>4445000</v>
      </c>
    </row>
    <row r="33" spans="1:9" s="668" customFormat="1" ht="23.25" thickBot="1" x14ac:dyDescent="0.25">
      <c r="A33" s="847" t="s">
        <v>570</v>
      </c>
      <c r="B33" s="777" t="s">
        <v>419</v>
      </c>
      <c r="C33" s="778" t="s">
        <v>347</v>
      </c>
      <c r="D33" s="778">
        <v>7250000</v>
      </c>
      <c r="E33" s="778">
        <v>3750000</v>
      </c>
      <c r="F33" s="778"/>
      <c r="G33" s="778"/>
      <c r="H33" s="778"/>
      <c r="I33" s="779">
        <f t="shared" si="4"/>
        <v>11000000</v>
      </c>
    </row>
    <row r="34" spans="1:9" s="668" customFormat="1" ht="23.25" thickBot="1" x14ac:dyDescent="0.25">
      <c r="A34" s="847" t="s">
        <v>579</v>
      </c>
      <c r="B34" s="777" t="s">
        <v>574</v>
      </c>
      <c r="C34" s="778">
        <v>2019</v>
      </c>
      <c r="D34" s="778">
        <v>30899733</v>
      </c>
      <c r="E34" s="778">
        <v>72099376</v>
      </c>
      <c r="F34" s="778"/>
      <c r="G34" s="778"/>
      <c r="H34" s="778"/>
      <c r="I34" s="779">
        <f t="shared" si="4"/>
        <v>102999109</v>
      </c>
    </row>
    <row r="35" spans="1:9" s="668" customFormat="1" ht="79.5" thickBot="1" x14ac:dyDescent="0.25">
      <c r="A35" s="847" t="s">
        <v>580</v>
      </c>
      <c r="B35" s="777" t="s">
        <v>478</v>
      </c>
      <c r="C35" s="778" t="s">
        <v>334</v>
      </c>
      <c r="D35" s="778"/>
      <c r="E35" s="778">
        <v>990600</v>
      </c>
      <c r="F35" s="778"/>
      <c r="G35" s="778"/>
      <c r="H35" s="778"/>
      <c r="I35" s="779">
        <f t="shared" si="4"/>
        <v>990600</v>
      </c>
    </row>
    <row r="36" spans="1:9" s="668" customFormat="1" ht="23.25" thickBot="1" x14ac:dyDescent="0.25">
      <c r="A36" s="847" t="s">
        <v>581</v>
      </c>
      <c r="B36" s="777" t="s">
        <v>457</v>
      </c>
      <c r="C36" s="778">
        <v>2019</v>
      </c>
      <c r="D36" s="778">
        <v>2700000</v>
      </c>
      <c r="E36" s="778">
        <v>10000000</v>
      </c>
      <c r="F36" s="778"/>
      <c r="G36" s="778"/>
      <c r="H36" s="778"/>
      <c r="I36" s="779">
        <f t="shared" si="4"/>
        <v>12700000</v>
      </c>
    </row>
    <row r="37" spans="1:9" s="668" customFormat="1" ht="69" customHeight="1" thickBot="1" x14ac:dyDescent="0.25">
      <c r="A37" s="669" t="s">
        <v>20</v>
      </c>
      <c r="B37" s="644" t="s">
        <v>94</v>
      </c>
      <c r="C37" s="644"/>
      <c r="D37" s="644">
        <f t="shared" ref="D37:I37" si="5">SUM(D38:D62)</f>
        <v>98902228</v>
      </c>
      <c r="E37" s="644">
        <f t="shared" si="5"/>
        <v>21766734</v>
      </c>
      <c r="F37" s="644">
        <f t="shared" si="5"/>
        <v>13232162</v>
      </c>
      <c r="G37" s="644">
        <f t="shared" si="5"/>
        <v>13232162</v>
      </c>
      <c r="H37" s="644">
        <f t="shared" si="5"/>
        <v>13232162</v>
      </c>
      <c r="I37" s="645">
        <f t="shared" si="5"/>
        <v>160365448</v>
      </c>
    </row>
    <row r="38" spans="1:9" s="774" customFormat="1" ht="45" x14ac:dyDescent="0.2">
      <c r="A38" s="769" t="s">
        <v>239</v>
      </c>
      <c r="B38" s="770" t="s">
        <v>429</v>
      </c>
      <c r="C38" s="771" t="s">
        <v>416</v>
      </c>
      <c r="D38" s="771">
        <v>1000000</v>
      </c>
      <c r="E38" s="771"/>
      <c r="F38" s="772"/>
      <c r="G38" s="772"/>
      <c r="H38" s="772"/>
      <c r="I38" s="773">
        <f>D38+E38+F38+G38+H38</f>
        <v>1000000</v>
      </c>
    </row>
    <row r="39" spans="1:9" s="774" customFormat="1" ht="11.25" x14ac:dyDescent="0.2">
      <c r="A39" s="738" t="s">
        <v>240</v>
      </c>
      <c r="B39" s="750" t="s">
        <v>148</v>
      </c>
      <c r="C39" s="739" t="s">
        <v>103</v>
      </c>
      <c r="D39" s="740">
        <v>5064360</v>
      </c>
      <c r="E39" s="740">
        <v>868680</v>
      </c>
      <c r="F39" s="740">
        <v>868680</v>
      </c>
      <c r="G39" s="740">
        <v>868680</v>
      </c>
      <c r="H39" s="740">
        <v>868680</v>
      </c>
      <c r="I39" s="737">
        <f t="shared" ref="I39:I44" si="6">D39+E39+F39+G39+H39</f>
        <v>8539080</v>
      </c>
    </row>
    <row r="40" spans="1:9" s="774" customFormat="1" ht="22.5" x14ac:dyDescent="0.2">
      <c r="A40" s="738" t="s">
        <v>241</v>
      </c>
      <c r="B40" s="750" t="s">
        <v>232</v>
      </c>
      <c r="C40" s="739" t="s">
        <v>231</v>
      </c>
      <c r="D40" s="740">
        <v>7040000</v>
      </c>
      <c r="E40" s="740">
        <v>1200000</v>
      </c>
      <c r="F40" s="740">
        <v>1200000</v>
      </c>
      <c r="G40" s="740">
        <v>1200000</v>
      </c>
      <c r="H40" s="740">
        <v>1200000</v>
      </c>
      <c r="I40" s="737">
        <f t="shared" si="6"/>
        <v>11840000</v>
      </c>
    </row>
    <row r="41" spans="1:9" s="774" customFormat="1" ht="33.75" x14ac:dyDescent="0.2">
      <c r="A41" s="738" t="s">
        <v>242</v>
      </c>
      <c r="B41" s="750" t="s">
        <v>233</v>
      </c>
      <c r="C41" s="739" t="s">
        <v>111</v>
      </c>
      <c r="D41" s="740">
        <f>3960000+660000</f>
        <v>4620000</v>
      </c>
      <c r="E41" s="740">
        <v>660000</v>
      </c>
      <c r="F41" s="740">
        <v>660000</v>
      </c>
      <c r="G41" s="740">
        <v>660000</v>
      </c>
      <c r="H41" s="740">
        <v>660000</v>
      </c>
      <c r="I41" s="737">
        <f t="shared" si="6"/>
        <v>7260000</v>
      </c>
    </row>
    <row r="42" spans="1:9" s="774" customFormat="1" ht="11.25" x14ac:dyDescent="0.2">
      <c r="A42" s="738" t="s">
        <v>331</v>
      </c>
      <c r="B42" s="750" t="s">
        <v>234</v>
      </c>
      <c r="C42" s="739" t="s">
        <v>231</v>
      </c>
      <c r="D42" s="740">
        <f>10035000+1905000</f>
        <v>11940000</v>
      </c>
      <c r="E42" s="740">
        <v>1500000</v>
      </c>
      <c r="F42" s="740">
        <v>1500000</v>
      </c>
      <c r="G42" s="740">
        <v>1500000</v>
      </c>
      <c r="H42" s="740">
        <v>1500000</v>
      </c>
      <c r="I42" s="737">
        <f t="shared" si="6"/>
        <v>17940000</v>
      </c>
    </row>
    <row r="43" spans="1:9" s="774" customFormat="1" ht="22.5" x14ac:dyDescent="0.2">
      <c r="A43" s="742" t="s">
        <v>243</v>
      </c>
      <c r="B43" s="751" t="s">
        <v>359</v>
      </c>
      <c r="C43" s="744" t="s">
        <v>352</v>
      </c>
      <c r="D43" s="745">
        <v>3112000</v>
      </c>
      <c r="E43" s="745">
        <v>762000</v>
      </c>
      <c r="F43" s="745">
        <v>762000</v>
      </c>
      <c r="G43" s="745">
        <v>762000</v>
      </c>
      <c r="H43" s="745">
        <v>762000</v>
      </c>
      <c r="I43" s="737">
        <f t="shared" si="6"/>
        <v>6160000</v>
      </c>
    </row>
    <row r="44" spans="1:9" s="774" customFormat="1" ht="11.25" x14ac:dyDescent="0.2">
      <c r="A44" s="738" t="s">
        <v>244</v>
      </c>
      <c r="B44" s="750" t="s">
        <v>264</v>
      </c>
      <c r="C44" s="739" t="s">
        <v>265</v>
      </c>
      <c r="D44" s="740">
        <v>38182564</v>
      </c>
      <c r="E44" s="740">
        <v>3873672</v>
      </c>
      <c r="F44" s="740">
        <v>3873672</v>
      </c>
      <c r="G44" s="740">
        <v>3873672</v>
      </c>
      <c r="H44" s="740">
        <v>3873672</v>
      </c>
      <c r="I44" s="737">
        <f t="shared" si="6"/>
        <v>53677252</v>
      </c>
    </row>
    <row r="45" spans="1:9" s="774" customFormat="1" ht="22.5" x14ac:dyDescent="0.2">
      <c r="A45" s="738" t="s">
        <v>245</v>
      </c>
      <c r="B45" s="750" t="s">
        <v>268</v>
      </c>
      <c r="C45" s="739" t="s">
        <v>231</v>
      </c>
      <c r="D45" s="740">
        <f>956000+162000</f>
        <v>1118000</v>
      </c>
      <c r="E45" s="740">
        <v>162000</v>
      </c>
      <c r="F45" s="740">
        <v>162000</v>
      </c>
      <c r="G45" s="740">
        <v>162000</v>
      </c>
      <c r="H45" s="740">
        <v>162000</v>
      </c>
      <c r="I45" s="775">
        <f t="shared" ref="I45:I62" si="7">SUM(D45:H45)</f>
        <v>1766000</v>
      </c>
    </row>
    <row r="46" spans="1:9" s="774" customFormat="1" ht="22.5" x14ac:dyDescent="0.2">
      <c r="A46" s="738" t="s">
        <v>246</v>
      </c>
      <c r="B46" s="750" t="s">
        <v>270</v>
      </c>
      <c r="C46" s="739" t="s">
        <v>111</v>
      </c>
      <c r="D46" s="740">
        <f>1077500+139500</f>
        <v>1217000</v>
      </c>
      <c r="E46" s="740">
        <v>139500</v>
      </c>
      <c r="F46" s="740">
        <v>139500</v>
      </c>
      <c r="G46" s="740">
        <v>139500</v>
      </c>
      <c r="H46" s="740">
        <v>139500</v>
      </c>
      <c r="I46" s="775">
        <f t="shared" si="7"/>
        <v>1775000</v>
      </c>
    </row>
    <row r="47" spans="1:9" s="774" customFormat="1" ht="22.5" x14ac:dyDescent="0.2">
      <c r="A47" s="738" t="s">
        <v>251</v>
      </c>
      <c r="B47" s="750" t="s">
        <v>463</v>
      </c>
      <c r="C47" s="739" t="s">
        <v>111</v>
      </c>
      <c r="D47" s="740">
        <f>2728680+624840</f>
        <v>3353520</v>
      </c>
      <c r="E47" s="740">
        <v>624840</v>
      </c>
      <c r="F47" s="740">
        <v>624840</v>
      </c>
      <c r="G47" s="740">
        <v>624840</v>
      </c>
      <c r="H47" s="740">
        <v>624840</v>
      </c>
      <c r="I47" s="775">
        <f t="shared" si="7"/>
        <v>5852880</v>
      </c>
    </row>
    <row r="48" spans="1:9" s="774" customFormat="1" ht="22.5" x14ac:dyDescent="0.2">
      <c r="A48" s="738" t="s">
        <v>263</v>
      </c>
      <c r="B48" s="750" t="s">
        <v>273</v>
      </c>
      <c r="C48" s="739" t="s">
        <v>231</v>
      </c>
      <c r="D48" s="740">
        <f>296750+83000</f>
        <v>379750</v>
      </c>
      <c r="E48" s="740">
        <v>83000</v>
      </c>
      <c r="F48" s="740">
        <v>83000</v>
      </c>
      <c r="G48" s="740">
        <v>83000</v>
      </c>
      <c r="H48" s="740">
        <v>83000</v>
      </c>
      <c r="I48" s="775">
        <f t="shared" si="7"/>
        <v>711750</v>
      </c>
    </row>
    <row r="49" spans="1:9" s="774" customFormat="1" ht="22.5" x14ac:dyDescent="0.2">
      <c r="A49" s="738" t="s">
        <v>266</v>
      </c>
      <c r="B49" s="750" t="s">
        <v>274</v>
      </c>
      <c r="C49" s="739" t="s">
        <v>111</v>
      </c>
      <c r="D49" s="740">
        <v>1732218</v>
      </c>
      <c r="E49" s="740">
        <v>220218</v>
      </c>
      <c r="F49" s="740">
        <v>220218</v>
      </c>
      <c r="G49" s="740">
        <v>220218</v>
      </c>
      <c r="H49" s="740">
        <v>220218</v>
      </c>
      <c r="I49" s="775">
        <f t="shared" si="7"/>
        <v>2613090</v>
      </c>
    </row>
    <row r="50" spans="1:9" s="774" customFormat="1" ht="33.75" x14ac:dyDescent="0.2">
      <c r="A50" s="738" t="s">
        <v>267</v>
      </c>
      <c r="B50" s="750" t="s">
        <v>276</v>
      </c>
      <c r="C50" s="739" t="s">
        <v>111</v>
      </c>
      <c r="D50" s="740">
        <v>253000</v>
      </c>
      <c r="E50" s="740">
        <v>32000</v>
      </c>
      <c r="F50" s="740">
        <v>32000</v>
      </c>
      <c r="G50" s="740">
        <v>32000</v>
      </c>
      <c r="H50" s="740">
        <v>32000</v>
      </c>
      <c r="I50" s="775">
        <f t="shared" si="7"/>
        <v>381000</v>
      </c>
    </row>
    <row r="51" spans="1:9" s="774" customFormat="1" ht="22.5" x14ac:dyDescent="0.2">
      <c r="A51" s="738" t="s">
        <v>269</v>
      </c>
      <c r="B51" s="750" t="s">
        <v>280</v>
      </c>
      <c r="C51" s="739" t="s">
        <v>111</v>
      </c>
      <c r="D51" s="740">
        <v>297720</v>
      </c>
      <c r="E51" s="740">
        <v>45720</v>
      </c>
      <c r="F51" s="740">
        <v>45720</v>
      </c>
      <c r="G51" s="740">
        <v>45720</v>
      </c>
      <c r="H51" s="740">
        <v>45720</v>
      </c>
      <c r="I51" s="775">
        <f t="shared" si="7"/>
        <v>480600</v>
      </c>
    </row>
    <row r="52" spans="1:9" s="774" customFormat="1" ht="11.25" x14ac:dyDescent="0.2">
      <c r="A52" s="738" t="s">
        <v>271</v>
      </c>
      <c r="B52" s="750" t="s">
        <v>360</v>
      </c>
      <c r="C52" s="739" t="s">
        <v>111</v>
      </c>
      <c r="D52" s="740">
        <v>682924</v>
      </c>
      <c r="E52" s="740">
        <v>153924</v>
      </c>
      <c r="F52" s="740">
        <v>153924</v>
      </c>
      <c r="G52" s="740">
        <v>153924</v>
      </c>
      <c r="H52" s="740">
        <v>153924</v>
      </c>
      <c r="I52" s="775">
        <f t="shared" si="7"/>
        <v>1298620</v>
      </c>
    </row>
    <row r="53" spans="1:9" s="774" customFormat="1" ht="45" x14ac:dyDescent="0.2">
      <c r="A53" s="738" t="s">
        <v>272</v>
      </c>
      <c r="B53" s="750" t="s">
        <v>332</v>
      </c>
      <c r="C53" s="739" t="s">
        <v>111</v>
      </c>
      <c r="D53" s="740">
        <v>4917592</v>
      </c>
      <c r="E53" s="740">
        <v>1032288</v>
      </c>
      <c r="F53" s="740">
        <v>1032288</v>
      </c>
      <c r="G53" s="740">
        <v>1032288</v>
      </c>
      <c r="H53" s="740">
        <v>1032288</v>
      </c>
      <c r="I53" s="775">
        <f t="shared" si="7"/>
        <v>9046744</v>
      </c>
    </row>
    <row r="54" spans="1:9" s="774" customFormat="1" ht="45" x14ac:dyDescent="0.2">
      <c r="A54" s="738" t="s">
        <v>275</v>
      </c>
      <c r="B54" s="750" t="s">
        <v>361</v>
      </c>
      <c r="C54" s="739" t="s">
        <v>112</v>
      </c>
      <c r="D54" s="740">
        <v>5413650</v>
      </c>
      <c r="E54" s="740">
        <v>882650</v>
      </c>
      <c r="F54" s="740">
        <v>882650</v>
      </c>
      <c r="G54" s="740">
        <v>882650</v>
      </c>
      <c r="H54" s="740">
        <v>882650</v>
      </c>
      <c r="I54" s="775">
        <f t="shared" si="7"/>
        <v>8944250</v>
      </c>
    </row>
    <row r="55" spans="1:9" s="774" customFormat="1" ht="33.75" x14ac:dyDescent="0.2">
      <c r="A55" s="738" t="s">
        <v>277</v>
      </c>
      <c r="B55" s="750" t="s">
        <v>333</v>
      </c>
      <c r="C55" s="739" t="s">
        <v>111</v>
      </c>
      <c r="D55" s="740">
        <v>1140000</v>
      </c>
      <c r="E55" s="740">
        <v>228000</v>
      </c>
      <c r="F55" s="740">
        <v>228000</v>
      </c>
      <c r="G55" s="740">
        <v>228000</v>
      </c>
      <c r="H55" s="740">
        <v>228000</v>
      </c>
      <c r="I55" s="775">
        <f t="shared" si="7"/>
        <v>2052000</v>
      </c>
    </row>
    <row r="56" spans="1:9" s="774" customFormat="1" ht="22.5" x14ac:dyDescent="0.2">
      <c r="A56" s="738" t="s">
        <v>278</v>
      </c>
      <c r="B56" s="750" t="s">
        <v>362</v>
      </c>
      <c r="C56" s="739" t="s">
        <v>352</v>
      </c>
      <c r="D56" s="740">
        <v>189720</v>
      </c>
      <c r="E56" s="740">
        <v>45720</v>
      </c>
      <c r="F56" s="740">
        <v>45720</v>
      </c>
      <c r="G56" s="740">
        <v>45720</v>
      </c>
      <c r="H56" s="740">
        <v>45720</v>
      </c>
      <c r="I56" s="775">
        <f t="shared" si="7"/>
        <v>372600</v>
      </c>
    </row>
    <row r="57" spans="1:9" s="774" customFormat="1" ht="22.5" x14ac:dyDescent="0.2">
      <c r="A57" s="742" t="s">
        <v>279</v>
      </c>
      <c r="B57" s="751" t="s">
        <v>571</v>
      </c>
      <c r="C57" s="744" t="s">
        <v>347</v>
      </c>
      <c r="D57" s="745">
        <v>38100</v>
      </c>
      <c r="E57" s="745">
        <f>152400+100000</f>
        <v>252400</v>
      </c>
      <c r="F57" s="745">
        <v>152400</v>
      </c>
      <c r="G57" s="745">
        <v>152400</v>
      </c>
      <c r="H57" s="745">
        <v>152400</v>
      </c>
      <c r="I57" s="775">
        <f t="shared" si="7"/>
        <v>747700</v>
      </c>
    </row>
    <row r="58" spans="1:9" s="774" customFormat="1" ht="11.25" x14ac:dyDescent="0.2">
      <c r="A58" s="742" t="s">
        <v>584</v>
      </c>
      <c r="B58" s="751" t="s">
        <v>572</v>
      </c>
      <c r="C58" s="744" t="s">
        <v>347</v>
      </c>
      <c r="D58" s="745"/>
      <c r="E58" s="745">
        <v>133750</v>
      </c>
      <c r="F58" s="745">
        <v>133750</v>
      </c>
      <c r="G58" s="745">
        <v>133750</v>
      </c>
      <c r="H58" s="745">
        <v>133750</v>
      </c>
      <c r="I58" s="775">
        <f t="shared" si="7"/>
        <v>535000</v>
      </c>
    </row>
    <row r="59" spans="1:9" s="774" customFormat="1" ht="11.25" x14ac:dyDescent="0.2">
      <c r="A59" s="742" t="s">
        <v>585</v>
      </c>
      <c r="B59" s="751" t="s">
        <v>573</v>
      </c>
      <c r="C59" s="744">
        <v>2018</v>
      </c>
      <c r="D59" s="745">
        <v>6711310</v>
      </c>
      <c r="E59" s="745">
        <v>8053572</v>
      </c>
      <c r="F59" s="745"/>
      <c r="G59" s="745"/>
      <c r="H59" s="745"/>
      <c r="I59" s="775">
        <f t="shared" si="7"/>
        <v>14764882</v>
      </c>
    </row>
    <row r="60" spans="1:9" s="774" customFormat="1" ht="33.75" x14ac:dyDescent="0.2">
      <c r="A60" s="742" t="s">
        <v>586</v>
      </c>
      <c r="B60" s="751" t="s">
        <v>583</v>
      </c>
      <c r="C60" s="744" t="s">
        <v>347</v>
      </c>
      <c r="D60" s="745"/>
      <c r="E60" s="745">
        <f>317500+228600</f>
        <v>546100</v>
      </c>
      <c r="F60" s="745">
        <v>228600</v>
      </c>
      <c r="G60" s="745">
        <v>228600</v>
      </c>
      <c r="H60" s="745">
        <v>228600</v>
      </c>
      <c r="I60" s="775">
        <f t="shared" si="7"/>
        <v>1231900</v>
      </c>
    </row>
    <row r="61" spans="1:9" s="774" customFormat="1" ht="33.75" x14ac:dyDescent="0.2">
      <c r="A61" s="742" t="s">
        <v>587</v>
      </c>
      <c r="B61" s="751" t="s">
        <v>582</v>
      </c>
      <c r="C61" s="744" t="s">
        <v>347</v>
      </c>
      <c r="D61" s="745"/>
      <c r="E61" s="745">
        <f>63500+152400</f>
        <v>215900</v>
      </c>
      <c r="F61" s="745">
        <v>152400</v>
      </c>
      <c r="G61" s="745">
        <v>152400</v>
      </c>
      <c r="H61" s="745">
        <v>152400</v>
      </c>
      <c r="I61" s="775">
        <f t="shared" si="7"/>
        <v>673100</v>
      </c>
    </row>
    <row r="62" spans="1:9" s="774" customFormat="1" ht="22.5" x14ac:dyDescent="0.2">
      <c r="A62" s="742" t="s">
        <v>588</v>
      </c>
      <c r="B62" s="751" t="s">
        <v>363</v>
      </c>
      <c r="C62" s="744" t="s">
        <v>352</v>
      </c>
      <c r="D62" s="745">
        <v>498800</v>
      </c>
      <c r="E62" s="745">
        <v>50800</v>
      </c>
      <c r="F62" s="745">
        <v>50800</v>
      </c>
      <c r="G62" s="745">
        <v>50800</v>
      </c>
      <c r="H62" s="745">
        <v>50800</v>
      </c>
      <c r="I62" s="776">
        <f t="shared" si="7"/>
        <v>702000</v>
      </c>
    </row>
    <row r="63" spans="1:9" s="488" customFormat="1" ht="69" customHeight="1" x14ac:dyDescent="0.2">
      <c r="A63" s="954" t="s">
        <v>41</v>
      </c>
      <c r="B63" s="954"/>
      <c r="C63" s="752"/>
      <c r="D63" s="753">
        <f t="shared" ref="D63:I63" si="8">D37+D21+D7</f>
        <v>1580343222</v>
      </c>
      <c r="E63" s="753">
        <f t="shared" si="8"/>
        <v>763185093</v>
      </c>
      <c r="F63" s="753">
        <f t="shared" si="8"/>
        <v>36227383</v>
      </c>
      <c r="G63" s="753">
        <f t="shared" si="8"/>
        <v>35494903</v>
      </c>
      <c r="H63" s="753">
        <f t="shared" si="8"/>
        <v>34784107</v>
      </c>
      <c r="I63" s="753">
        <f t="shared" si="8"/>
        <v>2450034708</v>
      </c>
    </row>
    <row r="64" spans="1:9" s="488" customFormat="1" ht="69" customHeight="1" x14ac:dyDescent="0.2">
      <c r="A64"/>
      <c r="B64"/>
      <c r="C64"/>
      <c r="D64"/>
      <c r="E64"/>
      <c r="F64"/>
      <c r="G64"/>
      <c r="H64"/>
      <c r="I64"/>
    </row>
    <row r="65" spans="1:9" s="488" customFormat="1" ht="69" customHeight="1" x14ac:dyDescent="0.2">
      <c r="A65"/>
      <c r="B65"/>
      <c r="C65"/>
      <c r="D65"/>
      <c r="E65"/>
      <c r="F65"/>
      <c r="G65"/>
      <c r="H65"/>
      <c r="I65"/>
    </row>
    <row r="66" spans="1:9" s="488" customFormat="1" ht="69" customHeight="1" x14ac:dyDescent="0.2">
      <c r="A66"/>
      <c r="B66"/>
      <c r="C66"/>
      <c r="D66"/>
      <c r="E66"/>
      <c r="F66"/>
      <c r="G66"/>
      <c r="H66"/>
      <c r="I66"/>
    </row>
    <row r="67" spans="1:9" s="488" customFormat="1" ht="69" customHeight="1" x14ac:dyDescent="0.2">
      <c r="A67"/>
      <c r="B67"/>
      <c r="C67"/>
      <c r="D67"/>
      <c r="E67"/>
      <c r="F67"/>
      <c r="G67"/>
      <c r="H67"/>
      <c r="I67"/>
    </row>
    <row r="68" spans="1:9" s="488" customFormat="1" ht="69" customHeight="1" x14ac:dyDescent="0.2">
      <c r="A68"/>
      <c r="B68"/>
      <c r="C68"/>
      <c r="D68"/>
      <c r="E68"/>
      <c r="F68"/>
      <c r="G68"/>
      <c r="H68"/>
      <c r="I68"/>
    </row>
    <row r="69" spans="1:9" s="488" customFormat="1" ht="69" customHeight="1" x14ac:dyDescent="0.2">
      <c r="A69"/>
      <c r="B69"/>
      <c r="C69"/>
      <c r="D69"/>
      <c r="E69"/>
      <c r="F69"/>
      <c r="G69"/>
      <c r="H69"/>
      <c r="I69"/>
    </row>
    <row r="70" spans="1:9" s="488" customFormat="1" ht="69" customHeight="1" x14ac:dyDescent="0.2">
      <c r="A70"/>
      <c r="B70"/>
      <c r="C70"/>
      <c r="D70"/>
      <c r="E70"/>
      <c r="F70"/>
      <c r="G70"/>
      <c r="H70"/>
      <c r="I70"/>
    </row>
    <row r="71" spans="1:9" s="488" customFormat="1" ht="69" customHeight="1" x14ac:dyDescent="0.2">
      <c r="A71"/>
      <c r="B71"/>
      <c r="C71"/>
      <c r="D71"/>
      <c r="E71"/>
      <c r="F71"/>
      <c r="G71"/>
      <c r="H71"/>
      <c r="I71"/>
    </row>
    <row r="72" spans="1:9" s="486" customFormat="1" ht="69" customHeight="1" x14ac:dyDescent="0.2">
      <c r="A72"/>
      <c r="B72"/>
      <c r="C72"/>
      <c r="D72"/>
      <c r="E72"/>
      <c r="F72"/>
      <c r="G72"/>
      <c r="H72"/>
      <c r="I72"/>
    </row>
  </sheetData>
  <mergeCells count="8">
    <mergeCell ref="A63:B63"/>
    <mergeCell ref="A1:I1"/>
    <mergeCell ref="A3:A4"/>
    <mergeCell ref="B3:B4"/>
    <mergeCell ref="C3:C4"/>
    <mergeCell ref="D3:D4"/>
    <mergeCell ref="E3:H3"/>
    <mergeCell ref="I3:I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&amp;R6. sz. melléklet
...../2020. (....) Egyek Önk.</oddHeader>
  </headerFooter>
  <rowBreaks count="4" manualBreakCount="4">
    <brk id="11" max="9" man="1"/>
    <brk id="20" max="16383" man="1"/>
    <brk id="51" max="16383" man="1"/>
    <brk id="63" max="9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Normal="100" zoomScaleSheetLayoutView="100" workbookViewId="0">
      <selection activeCell="C72" sqref="C72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6.42578125" style="388" customWidth="1"/>
    <col min="5" max="5" width="17.42578125" style="389" customWidth="1"/>
    <col min="6" max="6" width="18.140625" customWidth="1"/>
    <col min="7" max="7" width="13.42578125" customWidth="1"/>
    <col min="8" max="8" width="19" bestFit="1" customWidth="1"/>
  </cols>
  <sheetData>
    <row r="1" spans="2:7" ht="15.75" x14ac:dyDescent="0.25">
      <c r="B1" s="928" t="s">
        <v>563</v>
      </c>
      <c r="C1" s="932"/>
      <c r="D1" s="932"/>
      <c r="E1" s="932"/>
      <c r="F1" s="932"/>
      <c r="G1" s="932"/>
    </row>
    <row r="2" spans="2:7" ht="16.5" thickBot="1" x14ac:dyDescent="0.25">
      <c r="B2" s="50" t="s">
        <v>71</v>
      </c>
      <c r="C2" s="50"/>
      <c r="D2" s="377"/>
      <c r="E2" s="378"/>
    </row>
    <row r="3" spans="2:7" ht="26.25" thickBot="1" x14ac:dyDescent="0.25">
      <c r="B3" s="57" t="s">
        <v>72</v>
      </c>
      <c r="C3" s="58" t="s">
        <v>73</v>
      </c>
      <c r="D3" s="208" t="s">
        <v>560</v>
      </c>
      <c r="E3" s="106" t="s">
        <v>561</v>
      </c>
      <c r="F3" s="59" t="s">
        <v>562</v>
      </c>
      <c r="G3" s="116"/>
    </row>
    <row r="4" spans="2:7" ht="13.5" thickBot="1" x14ac:dyDescent="0.25">
      <c r="B4" s="57">
        <v>1</v>
      </c>
      <c r="C4" s="58">
        <v>2</v>
      </c>
      <c r="D4" s="208">
        <v>3</v>
      </c>
      <c r="E4" s="106">
        <v>4</v>
      </c>
      <c r="F4" s="59">
        <v>5</v>
      </c>
    </row>
    <row r="5" spans="2:7" ht="26.25" thickBot="1" x14ac:dyDescent="0.25">
      <c r="B5" s="60" t="s">
        <v>18</v>
      </c>
      <c r="C5" s="237" t="s">
        <v>159</v>
      </c>
      <c r="D5" s="107">
        <f>D6+D13</f>
        <v>737672630</v>
      </c>
      <c r="E5" s="107">
        <f>E6+E13</f>
        <v>720903728</v>
      </c>
      <c r="F5" s="107">
        <f>F6+F12+F13</f>
        <v>369018600</v>
      </c>
    </row>
    <row r="6" spans="2:7" s="112" customFormat="1" ht="13.5" thickBot="1" x14ac:dyDescent="0.25">
      <c r="B6" s="60" t="s">
        <v>22</v>
      </c>
      <c r="C6" s="356" t="s">
        <v>164</v>
      </c>
      <c r="D6" s="436">
        <f>SUM(D7:D11)</f>
        <v>328423860</v>
      </c>
      <c r="E6" s="436">
        <f>SUM(E7:E11)</f>
        <v>283375228</v>
      </c>
      <c r="F6" s="436">
        <f>SUM(F7:F11)</f>
        <v>336750171</v>
      </c>
    </row>
    <row r="7" spans="2:7" ht="13.5" thickBot="1" x14ac:dyDescent="0.25">
      <c r="B7" s="60" t="s">
        <v>26</v>
      </c>
      <c r="C7" s="62" t="s">
        <v>281</v>
      </c>
      <c r="D7" s="433">
        <v>177236427</v>
      </c>
      <c r="E7" s="433">
        <v>179789816</v>
      </c>
      <c r="F7" s="437">
        <v>158817238</v>
      </c>
    </row>
    <row r="8" spans="2:7" ht="26.25" thickBot="1" x14ac:dyDescent="0.25">
      <c r="B8" s="60" t="s">
        <v>20</v>
      </c>
      <c r="C8" s="61" t="s">
        <v>282</v>
      </c>
      <c r="D8" s="434">
        <v>91938376</v>
      </c>
      <c r="E8" s="434">
        <v>70536434</v>
      </c>
      <c r="F8" s="438">
        <v>93354563</v>
      </c>
    </row>
    <row r="9" spans="2:7" ht="13.5" thickBot="1" x14ac:dyDescent="0.25">
      <c r="B9" s="60" t="s">
        <v>23</v>
      </c>
      <c r="C9" s="61" t="s">
        <v>283</v>
      </c>
      <c r="D9" s="434">
        <v>7230155</v>
      </c>
      <c r="E9" s="434">
        <v>7275694</v>
      </c>
      <c r="F9" s="438">
        <v>6674085</v>
      </c>
    </row>
    <row r="10" spans="2:7" ht="13.5" thickBot="1" x14ac:dyDescent="0.25">
      <c r="B10" s="60" t="s">
        <v>27</v>
      </c>
      <c r="C10" s="61" t="s">
        <v>284</v>
      </c>
      <c r="D10" s="434">
        <v>10862397</v>
      </c>
      <c r="E10" s="434">
        <v>25773284</v>
      </c>
      <c r="F10" s="438">
        <v>77904285</v>
      </c>
    </row>
    <row r="11" spans="2:7" ht="13.5" thickBot="1" x14ac:dyDescent="0.25">
      <c r="B11" s="60" t="s">
        <v>21</v>
      </c>
      <c r="C11" s="61" t="s">
        <v>300</v>
      </c>
      <c r="D11" s="434">
        <v>41156505</v>
      </c>
      <c r="E11" s="434"/>
      <c r="F11" s="438"/>
    </row>
    <row r="12" spans="2:7" ht="26.25" thickBot="1" x14ac:dyDescent="0.25">
      <c r="B12" s="60" t="s">
        <v>29</v>
      </c>
      <c r="C12" s="489" t="s">
        <v>388</v>
      </c>
      <c r="D12" s="490"/>
      <c r="E12" s="490"/>
      <c r="F12" s="491"/>
    </row>
    <row r="13" spans="2:7" s="112" customFormat="1" ht="26.25" thickBot="1" x14ac:dyDescent="0.25">
      <c r="B13" s="60" t="s">
        <v>24</v>
      </c>
      <c r="C13" s="357" t="s">
        <v>285</v>
      </c>
      <c r="D13" s="435">
        <v>409248770</v>
      </c>
      <c r="E13" s="435">
        <v>437528500</v>
      </c>
      <c r="F13" s="439">
        <v>32268429</v>
      </c>
    </row>
    <row r="14" spans="2:7" s="112" customFormat="1" ht="13.5" thickBot="1" x14ac:dyDescent="0.25">
      <c r="B14" s="60" t="s">
        <v>19</v>
      </c>
      <c r="C14" s="357" t="s">
        <v>343</v>
      </c>
      <c r="D14" s="435"/>
      <c r="E14" s="435"/>
      <c r="F14" s="439"/>
    </row>
    <row r="15" spans="2:7" s="112" customFormat="1" ht="13.5" thickBot="1" x14ac:dyDescent="0.25">
      <c r="B15" s="60" t="s">
        <v>25</v>
      </c>
      <c r="C15" s="357" t="s">
        <v>389</v>
      </c>
      <c r="D15" s="435"/>
      <c r="E15" s="435"/>
      <c r="F15" s="439"/>
    </row>
    <row r="16" spans="2:7" ht="26.25" thickBot="1" x14ac:dyDescent="0.25">
      <c r="B16" s="60" t="s">
        <v>42</v>
      </c>
      <c r="C16" s="449" t="s">
        <v>165</v>
      </c>
      <c r="D16" s="448">
        <f>SUM(D17:D19)</f>
        <v>994671242</v>
      </c>
      <c r="E16" s="448">
        <f>SUM(E17:E19)</f>
        <v>671697561</v>
      </c>
      <c r="F16" s="448">
        <f>SUM(F17:F19)</f>
        <v>1502501030</v>
      </c>
    </row>
    <row r="17" spans="2:6" ht="13.5" thickBot="1" x14ac:dyDescent="0.25">
      <c r="B17" s="60" t="s">
        <v>32</v>
      </c>
      <c r="C17" s="447" t="s">
        <v>286</v>
      </c>
      <c r="D17" s="387">
        <v>39256370</v>
      </c>
      <c r="E17" s="387">
        <v>16999999</v>
      </c>
      <c r="F17" s="437">
        <v>0</v>
      </c>
    </row>
    <row r="18" spans="2:6" s="112" customFormat="1" ht="26.25" thickBot="1" x14ac:dyDescent="0.25">
      <c r="B18" s="60" t="s">
        <v>90</v>
      </c>
      <c r="C18" s="444" t="s">
        <v>390</v>
      </c>
      <c r="D18" s="445"/>
      <c r="E18" s="445"/>
      <c r="F18" s="446"/>
    </row>
    <row r="19" spans="2:6" ht="26.25" thickBot="1" x14ac:dyDescent="0.25">
      <c r="B19" s="60" t="s">
        <v>93</v>
      </c>
      <c r="C19" s="63" t="s">
        <v>287</v>
      </c>
      <c r="D19" s="108">
        <v>955414872</v>
      </c>
      <c r="E19" s="108">
        <v>654697562</v>
      </c>
      <c r="F19" s="440">
        <v>1502501030</v>
      </c>
    </row>
    <row r="20" spans="2:6" ht="13.5" thickBot="1" x14ac:dyDescent="0.25">
      <c r="B20" s="60" t="s">
        <v>91</v>
      </c>
      <c r="C20" s="114" t="s">
        <v>178</v>
      </c>
      <c r="D20" s="115">
        <f>D22+D23+D26+D27+D21</f>
        <v>79516774</v>
      </c>
      <c r="E20" s="115">
        <f>E22+E23+E26+E27</f>
        <v>98637447</v>
      </c>
      <c r="F20" s="115">
        <f>F22+F23+F26+F27</f>
        <v>97402000</v>
      </c>
    </row>
    <row r="21" spans="2:6" ht="13.5" thickBot="1" x14ac:dyDescent="0.25">
      <c r="B21" s="60"/>
      <c r="C21" s="661" t="s">
        <v>421</v>
      </c>
      <c r="D21" s="660"/>
      <c r="E21" s="660"/>
      <c r="F21" s="115"/>
    </row>
    <row r="22" spans="2:6" ht="13.5" thickBot="1" x14ac:dyDescent="0.25">
      <c r="B22" s="60" t="s">
        <v>95</v>
      </c>
      <c r="C22" s="755" t="s">
        <v>153</v>
      </c>
      <c r="D22" s="756">
        <v>13129435</v>
      </c>
      <c r="E22" s="756">
        <v>12562748</v>
      </c>
      <c r="F22" s="757">
        <v>12510000</v>
      </c>
    </row>
    <row r="23" spans="2:6" s="112" customFormat="1" ht="13.5" thickBot="1" x14ac:dyDescent="0.25">
      <c r="B23" s="754" t="s">
        <v>96</v>
      </c>
      <c r="C23" s="762" t="s">
        <v>288</v>
      </c>
      <c r="D23" s="763">
        <f>SUM(D24:D25)</f>
        <v>60902363</v>
      </c>
      <c r="E23" s="763">
        <f>SUM(E24:E25)</f>
        <v>78990549</v>
      </c>
      <c r="F23" s="763">
        <f>SUM(F24:F25)</f>
        <v>77833000</v>
      </c>
    </row>
    <row r="24" spans="2:6" ht="13.5" thickBot="1" x14ac:dyDescent="0.25">
      <c r="B24" s="754" t="s">
        <v>97</v>
      </c>
      <c r="C24" s="129" t="s">
        <v>289</v>
      </c>
      <c r="D24" s="761">
        <v>51918474</v>
      </c>
      <c r="E24" s="761">
        <v>69403671</v>
      </c>
      <c r="F24" s="764">
        <v>68320000</v>
      </c>
    </row>
    <row r="25" spans="2:6" ht="13.5" thickBot="1" x14ac:dyDescent="0.25">
      <c r="B25" s="754" t="s">
        <v>31</v>
      </c>
      <c r="C25" s="129" t="s">
        <v>290</v>
      </c>
      <c r="D25" s="761">
        <v>8983889</v>
      </c>
      <c r="E25" s="761">
        <v>9586878</v>
      </c>
      <c r="F25" s="764">
        <v>9513000</v>
      </c>
    </row>
    <row r="26" spans="2:6" ht="13.5" thickBot="1" x14ac:dyDescent="0.25">
      <c r="B26" s="754" t="s">
        <v>98</v>
      </c>
      <c r="C26" s="129" t="s">
        <v>291</v>
      </c>
      <c r="D26" s="761">
        <v>5484976</v>
      </c>
      <c r="E26" s="761">
        <v>7084150</v>
      </c>
      <c r="F26" s="765">
        <v>7059000</v>
      </c>
    </row>
    <row r="27" spans="2:6" ht="13.5" thickBot="1" x14ac:dyDescent="0.25">
      <c r="B27" s="754" t="s">
        <v>99</v>
      </c>
      <c r="C27" s="129" t="s">
        <v>417</v>
      </c>
      <c r="D27" s="761"/>
      <c r="E27" s="761"/>
      <c r="F27" s="764"/>
    </row>
    <row r="28" spans="2:6" ht="13.5" thickBot="1" x14ac:dyDescent="0.25">
      <c r="B28" s="754" t="s">
        <v>100</v>
      </c>
      <c r="C28" s="766" t="s">
        <v>344</v>
      </c>
      <c r="D28" s="767"/>
      <c r="E28" s="767"/>
      <c r="F28" s="768"/>
    </row>
    <row r="29" spans="2:6" ht="13.5" thickBot="1" x14ac:dyDescent="0.25">
      <c r="B29" s="754" t="s">
        <v>115</v>
      </c>
      <c r="C29" s="758" t="s">
        <v>292</v>
      </c>
      <c r="D29" s="759">
        <v>69157104</v>
      </c>
      <c r="E29" s="759">
        <v>94564959</v>
      </c>
      <c r="F29" s="760">
        <v>75876147</v>
      </c>
    </row>
    <row r="30" spans="2:6" s="97" customFormat="1" ht="13.5" thickBot="1" x14ac:dyDescent="0.25">
      <c r="B30" s="754" t="s">
        <v>116</v>
      </c>
      <c r="C30" s="358" t="s">
        <v>179</v>
      </c>
      <c r="D30" s="359">
        <v>3046456</v>
      </c>
      <c r="E30" s="359">
        <v>53524882</v>
      </c>
      <c r="F30" s="441">
        <f>11112694+10000000</f>
        <v>21112694</v>
      </c>
    </row>
    <row r="31" spans="2:6" s="97" customFormat="1" ht="13.5" thickBot="1" x14ac:dyDescent="0.25">
      <c r="B31" s="754" t="s">
        <v>117</v>
      </c>
      <c r="C31" s="360" t="s">
        <v>176</v>
      </c>
      <c r="D31" s="350">
        <v>13637767</v>
      </c>
      <c r="E31" s="350">
        <v>13653774</v>
      </c>
      <c r="F31" s="442">
        <v>17224731</v>
      </c>
    </row>
    <row r="32" spans="2:6" s="97" customFormat="1" ht="13.5" thickBot="1" x14ac:dyDescent="0.25">
      <c r="B32" s="754" t="s">
        <v>318</v>
      </c>
      <c r="C32" s="361" t="s">
        <v>167</v>
      </c>
      <c r="D32" s="362"/>
      <c r="E32" s="362">
        <f>E33+E34</f>
        <v>0</v>
      </c>
      <c r="F32" s="453">
        <f>F33+F34</f>
        <v>0</v>
      </c>
    </row>
    <row r="33" spans="2:8" s="281" customFormat="1" ht="26.25" thickBot="1" x14ac:dyDescent="0.25">
      <c r="B33" s="754" t="s">
        <v>319</v>
      </c>
      <c r="C33" s="352" t="s">
        <v>374</v>
      </c>
      <c r="D33" s="353"/>
      <c r="E33" s="353"/>
      <c r="F33" s="443">
        <v>0</v>
      </c>
    </row>
    <row r="34" spans="2:8" s="281" customFormat="1" ht="13.5" thickBot="1" x14ac:dyDescent="0.25">
      <c r="B34" s="754" t="s">
        <v>320</v>
      </c>
      <c r="C34" s="354" t="s">
        <v>375</v>
      </c>
      <c r="D34" s="355"/>
      <c r="E34" s="355"/>
      <c r="F34" s="355">
        <v>0</v>
      </c>
    </row>
    <row r="35" spans="2:8" ht="13.5" thickBot="1" x14ac:dyDescent="0.25">
      <c r="B35" s="969" t="s">
        <v>151</v>
      </c>
      <c r="C35" s="970"/>
      <c r="D35" s="363">
        <f>D5+D16+D20+D29+D30+D31+D32</f>
        <v>1897701973</v>
      </c>
      <c r="E35" s="363">
        <f>E5+E16+E20+E29+E30+E31+E32</f>
        <v>1652982351</v>
      </c>
      <c r="F35" s="363">
        <f>F5+F16+F20+F29+F30+F31+F32</f>
        <v>2083135202</v>
      </c>
    </row>
    <row r="36" spans="2:8" ht="13.5" thickBot="1" x14ac:dyDescent="0.25">
      <c r="B36" s="65" t="s">
        <v>321</v>
      </c>
      <c r="C36" s="65" t="s">
        <v>174</v>
      </c>
      <c r="D36" s="205">
        <f>SUM(D37:D39)</f>
        <v>172630161</v>
      </c>
      <c r="E36" s="205">
        <f>SUM(E37:E39)</f>
        <v>1164285911</v>
      </c>
      <c r="F36" s="205">
        <f>F37+F38+F39</f>
        <v>210043092</v>
      </c>
    </row>
    <row r="37" spans="2:8" ht="13.5" thickBot="1" x14ac:dyDescent="0.25">
      <c r="B37" s="65" t="s">
        <v>322</v>
      </c>
      <c r="C37" s="206" t="s">
        <v>293</v>
      </c>
      <c r="D37" s="207"/>
      <c r="E37" s="207">
        <v>48633958</v>
      </c>
      <c r="F37" s="355">
        <v>56729897</v>
      </c>
      <c r="H37" s="127"/>
    </row>
    <row r="38" spans="2:8" ht="24.75" customHeight="1" thickBot="1" x14ac:dyDescent="0.25">
      <c r="B38" s="65" t="s">
        <v>323</v>
      </c>
      <c r="C38" s="206" t="s">
        <v>170</v>
      </c>
      <c r="D38" s="207">
        <v>162501555</v>
      </c>
      <c r="E38" s="207">
        <v>1052482102</v>
      </c>
      <c r="F38" s="443">
        <v>153313195</v>
      </c>
      <c r="H38" s="641"/>
    </row>
    <row r="39" spans="2:8" ht="13.5" thickBot="1" x14ac:dyDescent="0.25">
      <c r="B39" s="65" t="s">
        <v>324</v>
      </c>
      <c r="C39" s="206" t="s">
        <v>346</v>
      </c>
      <c r="D39" s="207">
        <v>10128606</v>
      </c>
      <c r="E39" s="207">
        <v>63169851</v>
      </c>
      <c r="F39" s="443"/>
      <c r="H39" s="283"/>
    </row>
    <row r="40" spans="2:8" ht="13.5" thickBot="1" x14ac:dyDescent="0.25">
      <c r="B40" s="65" t="s">
        <v>325</v>
      </c>
      <c r="C40" s="206" t="s">
        <v>326</v>
      </c>
      <c r="D40" s="379"/>
      <c r="E40" s="207"/>
      <c r="F40" s="443"/>
    </row>
    <row r="41" spans="2:8" x14ac:dyDescent="0.2">
      <c r="B41" s="118"/>
      <c r="C41" s="117"/>
      <c r="D41" s="380"/>
      <c r="E41" s="380"/>
    </row>
    <row r="42" spans="2:8" x14ac:dyDescent="0.2">
      <c r="B42" s="968" t="s">
        <v>76</v>
      </c>
      <c r="C42" s="968"/>
      <c r="D42" s="968"/>
      <c r="E42" s="968"/>
    </row>
    <row r="43" spans="2:8" ht="13.5" thickBot="1" x14ac:dyDescent="0.25">
      <c r="B43" s="66"/>
      <c r="C43" s="66"/>
      <c r="D43" s="381"/>
      <c r="E43" s="382"/>
    </row>
    <row r="44" spans="2:8" ht="26.25" thickBot="1" x14ac:dyDescent="0.25">
      <c r="B44" s="57" t="s">
        <v>77</v>
      </c>
      <c r="C44" s="58" t="s">
        <v>78</v>
      </c>
      <c r="D44" s="208" t="s">
        <v>560</v>
      </c>
      <c r="E44" s="106" t="s">
        <v>557</v>
      </c>
      <c r="F44" s="59" t="s">
        <v>403</v>
      </c>
    </row>
    <row r="45" spans="2:8" ht="13.5" thickBot="1" x14ac:dyDescent="0.25">
      <c r="B45" s="57">
        <v>1</v>
      </c>
      <c r="C45" s="58">
        <v>2</v>
      </c>
      <c r="D45" s="208">
        <v>3</v>
      </c>
      <c r="E45" s="106">
        <v>4</v>
      </c>
      <c r="F45" s="59">
        <v>5</v>
      </c>
    </row>
    <row r="46" spans="2:8" ht="13.5" thickBot="1" x14ac:dyDescent="0.25">
      <c r="B46" s="60" t="s">
        <v>18</v>
      </c>
      <c r="C46" s="67" t="s">
        <v>294</v>
      </c>
      <c r="D46" s="107">
        <f>D47+D48</f>
        <v>502547283</v>
      </c>
      <c r="E46" s="107">
        <f>E47+E48</f>
        <v>474384466</v>
      </c>
      <c r="F46" s="107">
        <f>F47+F48</f>
        <v>210202479</v>
      </c>
      <c r="G46" s="94"/>
      <c r="H46" s="94"/>
    </row>
    <row r="47" spans="2:8" ht="13.5" thickBot="1" x14ac:dyDescent="0.25">
      <c r="B47" s="60" t="s">
        <v>22</v>
      </c>
      <c r="C47" s="64" t="s">
        <v>253</v>
      </c>
      <c r="D47" s="109">
        <v>452709126</v>
      </c>
      <c r="E47" s="109">
        <v>439378288</v>
      </c>
      <c r="F47" s="370">
        <v>183120437</v>
      </c>
      <c r="G47" s="94"/>
      <c r="H47" s="94"/>
    </row>
    <row r="48" spans="2:8" ht="13.5" thickBot="1" x14ac:dyDescent="0.25">
      <c r="B48" s="60" t="s">
        <v>26</v>
      </c>
      <c r="C48" s="68" t="s">
        <v>254</v>
      </c>
      <c r="D48" s="383">
        <v>49838157</v>
      </c>
      <c r="E48" s="383">
        <v>35006178</v>
      </c>
      <c r="F48" s="371">
        <v>27082042</v>
      </c>
      <c r="G48" s="94"/>
      <c r="H48" s="94"/>
    </row>
    <row r="49" spans="1:8" s="97" customFormat="1" ht="26.25" thickBot="1" x14ac:dyDescent="0.25">
      <c r="B49" s="60" t="s">
        <v>20</v>
      </c>
      <c r="C49" s="364" t="s">
        <v>223</v>
      </c>
      <c r="D49" s="106">
        <v>65742544</v>
      </c>
      <c r="E49" s="106">
        <v>60898284</v>
      </c>
      <c r="F49" s="372">
        <v>32567612</v>
      </c>
      <c r="G49" s="682"/>
      <c r="H49" s="682"/>
    </row>
    <row r="50" spans="1:8" s="97" customFormat="1" ht="13.5" thickBot="1" x14ac:dyDescent="0.25">
      <c r="B50" s="60" t="s">
        <v>23</v>
      </c>
      <c r="C50" s="365" t="s">
        <v>202</v>
      </c>
      <c r="D50" s="384">
        <v>182605783</v>
      </c>
      <c r="E50" s="384">
        <v>423032998</v>
      </c>
      <c r="F50" s="372">
        <v>408828641</v>
      </c>
      <c r="G50" s="682"/>
      <c r="H50" s="682"/>
    </row>
    <row r="51" spans="1:8" s="97" customFormat="1" ht="13.5" thickBot="1" x14ac:dyDescent="0.25">
      <c r="B51" s="60" t="s">
        <v>27</v>
      </c>
      <c r="C51" s="365" t="s">
        <v>295</v>
      </c>
      <c r="D51" s="106">
        <v>17717099</v>
      </c>
      <c r="E51" s="106">
        <v>9507143</v>
      </c>
      <c r="F51" s="678">
        <v>14005000</v>
      </c>
      <c r="G51" s="682"/>
      <c r="H51" s="683"/>
    </row>
    <row r="52" spans="1:8" s="97" customFormat="1" ht="13.5" thickBot="1" x14ac:dyDescent="0.25">
      <c r="B52" s="60" t="s">
        <v>21</v>
      </c>
      <c r="C52" s="366" t="s">
        <v>299</v>
      </c>
      <c r="D52" s="385">
        <v>103133455</v>
      </c>
      <c r="E52" s="385">
        <v>108934943</v>
      </c>
      <c r="F52" s="679">
        <v>135707092</v>
      </c>
      <c r="G52" s="682"/>
      <c r="H52" s="683"/>
    </row>
    <row r="53" spans="1:8" s="281" customFormat="1" ht="13.5" thickBot="1" x14ac:dyDescent="0.25">
      <c r="A53" s="113"/>
      <c r="B53" s="60" t="s">
        <v>29</v>
      </c>
      <c r="C53" s="680" t="s">
        <v>422</v>
      </c>
      <c r="D53" s="681">
        <f>SUM(D54:D55)</f>
        <v>103133455</v>
      </c>
      <c r="E53" s="681">
        <f t="shared" ref="E53:F53" si="0">SUM(E54:E55)</f>
        <v>0</v>
      </c>
      <c r="F53" s="681">
        <f t="shared" si="0"/>
        <v>15000000</v>
      </c>
      <c r="G53" s="684"/>
      <c r="H53" s="683"/>
    </row>
    <row r="54" spans="1:8" ht="13.5" thickBot="1" x14ac:dyDescent="0.25">
      <c r="B54" s="60" t="s">
        <v>24</v>
      </c>
      <c r="C54" s="368" t="s">
        <v>423</v>
      </c>
      <c r="D54" s="386">
        <v>103133455</v>
      </c>
      <c r="E54" s="386"/>
      <c r="F54" s="373">
        <v>10000000</v>
      </c>
      <c r="G54" s="94"/>
      <c r="H54" s="683"/>
    </row>
    <row r="55" spans="1:8" ht="13.5" thickBot="1" x14ac:dyDescent="0.25">
      <c r="B55" s="60" t="s">
        <v>19</v>
      </c>
      <c r="C55" s="369" t="s">
        <v>394</v>
      </c>
      <c r="D55" s="130"/>
      <c r="E55" s="130"/>
      <c r="F55" s="374">
        <v>5000000</v>
      </c>
      <c r="G55" s="94"/>
      <c r="H55" s="683"/>
    </row>
    <row r="56" spans="1:8" s="97" customFormat="1" ht="13.5" thickBot="1" x14ac:dyDescent="0.25">
      <c r="B56" s="60" t="s">
        <v>25</v>
      </c>
      <c r="C56" s="367" t="s">
        <v>296</v>
      </c>
      <c r="D56" s="351">
        <v>80340781</v>
      </c>
      <c r="E56" s="351">
        <v>843418159</v>
      </c>
      <c r="F56" s="375">
        <v>1433335193</v>
      </c>
      <c r="G56" s="682"/>
      <c r="H56" s="683"/>
    </row>
    <row r="57" spans="1:8" s="97" customFormat="1" ht="13.5" thickBot="1" x14ac:dyDescent="0.25">
      <c r="B57" s="60" t="s">
        <v>42</v>
      </c>
      <c r="C57" s="365" t="s">
        <v>297</v>
      </c>
      <c r="D57" s="106">
        <v>58899410</v>
      </c>
      <c r="E57" s="106">
        <v>39441130</v>
      </c>
      <c r="F57" s="372">
        <v>17903476</v>
      </c>
      <c r="G57" s="682"/>
      <c r="H57" s="683"/>
    </row>
    <row r="58" spans="1:8" s="97" customFormat="1" ht="13.5" thickBot="1" x14ac:dyDescent="0.25">
      <c r="B58" s="60" t="s">
        <v>32</v>
      </c>
      <c r="C58" s="365" t="s">
        <v>206</v>
      </c>
      <c r="D58" s="106">
        <v>1500000</v>
      </c>
      <c r="E58" s="106">
        <v>1207165</v>
      </c>
      <c r="F58" s="372"/>
      <c r="G58" s="682"/>
      <c r="H58" s="683"/>
    </row>
    <row r="59" spans="1:8" ht="13.5" thickBot="1" x14ac:dyDescent="0.25">
      <c r="B59" s="60" t="s">
        <v>90</v>
      </c>
      <c r="C59" s="69" t="s">
        <v>214</v>
      </c>
      <c r="D59" s="105">
        <f>D60+D62</f>
        <v>155780666</v>
      </c>
      <c r="E59" s="105">
        <f>E60+E62</f>
        <v>219513435</v>
      </c>
      <c r="F59" s="105">
        <f>F60+F62</f>
        <v>25628801</v>
      </c>
      <c r="G59" s="94"/>
      <c r="H59" s="683"/>
    </row>
    <row r="60" spans="1:8" ht="13.5" thickBot="1" x14ac:dyDescent="0.25">
      <c r="B60" s="60" t="s">
        <v>91</v>
      </c>
      <c r="C60" s="62" t="s">
        <v>209</v>
      </c>
      <c r="D60" s="387">
        <v>148226301</v>
      </c>
      <c r="E60" s="387">
        <v>209064070</v>
      </c>
      <c r="F60" s="249">
        <v>10353836</v>
      </c>
      <c r="G60" s="94"/>
      <c r="H60" s="683"/>
    </row>
    <row r="61" spans="1:8" ht="13.5" thickBot="1" x14ac:dyDescent="0.25">
      <c r="B61" s="60"/>
      <c r="C61" s="643" t="s">
        <v>425</v>
      </c>
      <c r="D61" s="387">
        <v>11049981</v>
      </c>
      <c r="E61" s="387">
        <v>62944621</v>
      </c>
      <c r="F61" s="249">
        <v>10353836</v>
      </c>
      <c r="G61" s="94"/>
      <c r="H61" s="683"/>
    </row>
    <row r="62" spans="1:8" ht="13.5" thickBot="1" x14ac:dyDescent="0.25">
      <c r="B62" s="60" t="s">
        <v>92</v>
      </c>
      <c r="C62" s="62" t="s">
        <v>210</v>
      </c>
      <c r="D62" s="108">
        <v>7554365</v>
      </c>
      <c r="E62" s="108">
        <v>10449365</v>
      </c>
      <c r="F62" s="373">
        <v>15274965</v>
      </c>
      <c r="G62" s="94"/>
      <c r="H62" s="685"/>
    </row>
    <row r="63" spans="1:8" ht="13.5" thickBot="1" x14ac:dyDescent="0.25">
      <c r="B63" s="60" t="s">
        <v>95</v>
      </c>
      <c r="C63" s="69" t="s">
        <v>298</v>
      </c>
      <c r="D63" s="376">
        <f>D46+D49+D50+D51+D52+D56+D57+D58+D59</f>
        <v>1168267021</v>
      </c>
      <c r="E63" s="376">
        <f>E46+E49+E50+E51+E52+E56+E57+E58+E59</f>
        <v>2180337723</v>
      </c>
      <c r="F63" s="376">
        <f>F46+F49+F50+F51+F52+F56+F57+F58+F59+F53</f>
        <v>2293178294</v>
      </c>
      <c r="G63" s="94"/>
      <c r="H63" s="685"/>
    </row>
    <row r="64" spans="1:8" ht="14.25" customHeight="1" thickBot="1" x14ac:dyDescent="0.25">
      <c r="B64" s="965" t="s">
        <v>564</v>
      </c>
      <c r="C64" s="966"/>
      <c r="D64" s="966"/>
      <c r="E64" s="967"/>
      <c r="F64" s="372">
        <f>F63</f>
        <v>2293178294</v>
      </c>
      <c r="G64" s="94"/>
      <c r="H64" s="685"/>
    </row>
    <row r="65" spans="2:8" ht="15" customHeight="1" thickBot="1" x14ac:dyDescent="0.25">
      <c r="B65" s="965" t="s">
        <v>565</v>
      </c>
      <c r="C65" s="966"/>
      <c r="D65" s="966"/>
      <c r="E65" s="967"/>
      <c r="F65" s="372">
        <f>F35+F36</f>
        <v>2293178294</v>
      </c>
      <c r="H65" s="641"/>
    </row>
    <row r="66" spans="2:8" x14ac:dyDescent="0.2">
      <c r="H66" s="641"/>
    </row>
    <row r="69" spans="2:8" x14ac:dyDescent="0.2">
      <c r="F69" s="845"/>
    </row>
  </sheetData>
  <mergeCells count="5">
    <mergeCell ref="B1:G1"/>
    <mergeCell ref="B64:E64"/>
    <mergeCell ref="B65:E65"/>
    <mergeCell ref="B42:E42"/>
    <mergeCell ref="B35:C35"/>
  </mergeCells>
  <phoneticPr fontId="4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&amp;R7.sz. melléklet
..../2020. (...) Egyek Önk.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3:Q37"/>
  <sheetViews>
    <sheetView topLeftCell="A16" zoomScale="120" zoomScaleNormal="120" workbookViewId="0">
      <selection activeCell="H28" sqref="H28"/>
    </sheetView>
  </sheetViews>
  <sheetFormatPr defaultRowHeight="12.75" x14ac:dyDescent="0.2"/>
  <cols>
    <col min="1" max="1" width="33.140625" customWidth="1"/>
    <col min="2" max="2" width="13.7109375" customWidth="1"/>
    <col min="3" max="3" width="9.5703125" bestFit="1" customWidth="1"/>
    <col min="5" max="5" width="9.5703125" bestFit="1" customWidth="1"/>
    <col min="6" max="7" width="10.85546875" bestFit="1" customWidth="1"/>
    <col min="8" max="9" width="9.5703125" bestFit="1" customWidth="1"/>
    <col min="11" max="11" width="9.5703125" bestFit="1" customWidth="1"/>
    <col min="12" max="12" width="11.7109375" bestFit="1" customWidth="1"/>
    <col min="13" max="14" width="9.5703125" bestFit="1" customWidth="1"/>
    <col min="15" max="15" width="11.7109375" customWidth="1"/>
  </cols>
  <sheetData>
    <row r="3" spans="1:17" ht="18" x14ac:dyDescent="0.25">
      <c r="A3" s="971" t="s">
        <v>543</v>
      </c>
      <c r="B3" s="971"/>
      <c r="C3" s="971"/>
      <c r="D3" s="971"/>
      <c r="E3" s="971"/>
      <c r="F3" s="971"/>
      <c r="G3" s="971"/>
      <c r="H3" s="971"/>
      <c r="I3" s="971"/>
      <c r="J3" s="971"/>
      <c r="K3" s="971"/>
      <c r="L3" s="971"/>
      <c r="M3" s="971"/>
      <c r="N3" s="971"/>
      <c r="O3" s="971"/>
    </row>
    <row r="4" spans="1:17" ht="18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7" ht="18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7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7" x14ac:dyDescent="0.2">
      <c r="A7" s="44" t="s">
        <v>16</v>
      </c>
      <c r="B7" s="45" t="s">
        <v>54</v>
      </c>
      <c r="C7" s="45" t="s">
        <v>55</v>
      </c>
      <c r="D7" s="45" t="s">
        <v>56</v>
      </c>
      <c r="E7" s="45" t="s">
        <v>57</v>
      </c>
      <c r="F7" s="45" t="s">
        <v>58</v>
      </c>
      <c r="G7" s="45" t="s">
        <v>59</v>
      </c>
      <c r="H7" s="45" t="s">
        <v>60</v>
      </c>
      <c r="I7" s="45" t="s">
        <v>61</v>
      </c>
      <c r="J7" s="45" t="s">
        <v>62</v>
      </c>
      <c r="K7" s="45" t="s">
        <v>63</v>
      </c>
      <c r="L7" s="45" t="s">
        <v>64</v>
      </c>
      <c r="M7" s="45" t="s">
        <v>65</v>
      </c>
      <c r="N7" s="45" t="s">
        <v>66</v>
      </c>
      <c r="O7" s="45" t="s">
        <v>41</v>
      </c>
    </row>
    <row r="8" spans="1:17" x14ac:dyDescent="0.2">
      <c r="A8" s="46" t="s">
        <v>67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>
        <f t="shared" ref="O8:O16" si="0">SUM(C8:N8)</f>
        <v>0</v>
      </c>
    </row>
    <row r="9" spans="1:17" ht="35.25" customHeight="1" x14ac:dyDescent="0.2">
      <c r="A9" s="124" t="s">
        <v>159</v>
      </c>
      <c r="B9" s="47">
        <f>291114315+77904285</f>
        <v>369018600</v>
      </c>
      <c r="C9" s="47">
        <v>24259526</v>
      </c>
      <c r="D9" s="47">
        <v>24259526</v>
      </c>
      <c r="E9" s="47">
        <v>24259526</v>
      </c>
      <c r="F9" s="47">
        <v>24259526</v>
      </c>
      <c r="G9" s="47">
        <v>24259526</v>
      </c>
      <c r="H9" s="47">
        <v>24259526</v>
      </c>
      <c r="I9" s="47">
        <v>24259526</v>
      </c>
      <c r="J9" s="47">
        <v>24259526</v>
      </c>
      <c r="K9" s="47">
        <v>24259526</v>
      </c>
      <c r="L9" s="47">
        <v>24259526</v>
      </c>
      <c r="M9" s="47">
        <v>24259526</v>
      </c>
      <c r="N9" s="47">
        <f>B9-C9-D9-E9-F9-G9-H9-I9-J9-K9-L9-M9</f>
        <v>102163814</v>
      </c>
      <c r="O9" s="47">
        <f t="shared" si="0"/>
        <v>369018600</v>
      </c>
    </row>
    <row r="10" spans="1:17" ht="29.25" customHeight="1" x14ac:dyDescent="0.2">
      <c r="A10" s="124" t="s">
        <v>165</v>
      </c>
      <c r="B10" s="47">
        <v>1502501030</v>
      </c>
      <c r="C10" s="47"/>
      <c r="D10" s="47">
        <v>30500000</v>
      </c>
      <c r="E10" s="47">
        <v>1200000</v>
      </c>
      <c r="F10" s="47">
        <v>21000000</v>
      </c>
      <c r="G10" s="47">
        <v>524500000</v>
      </c>
      <c r="H10" s="47">
        <v>250000000</v>
      </c>
      <c r="I10" s="47">
        <v>12500500</v>
      </c>
      <c r="J10" s="47">
        <v>39500000</v>
      </c>
      <c r="K10" s="47">
        <f>B10-L10-M10-N10-J10-I10-H10-G10-F10-E10-D10</f>
        <v>561800530</v>
      </c>
      <c r="L10" s="47">
        <v>21500000</v>
      </c>
      <c r="M10" s="47">
        <v>19500000</v>
      </c>
      <c r="N10" s="47">
        <v>20500000</v>
      </c>
      <c r="O10" s="47">
        <f t="shared" si="0"/>
        <v>1502501030</v>
      </c>
    </row>
    <row r="11" spans="1:17" ht="48" customHeight="1" x14ac:dyDescent="0.2">
      <c r="A11" s="124" t="s">
        <v>178</v>
      </c>
      <c r="B11" s="47">
        <v>97402000</v>
      </c>
      <c r="C11" s="47">
        <f>(B11-E11-K11)/10</f>
        <v>300200</v>
      </c>
      <c r="D11" s="47">
        <v>300200</v>
      </c>
      <c r="E11" s="47">
        <v>47200000</v>
      </c>
      <c r="F11" s="47">
        <v>300200</v>
      </c>
      <c r="G11" s="47">
        <v>300200</v>
      </c>
      <c r="H11" s="47">
        <v>300200</v>
      </c>
      <c r="I11" s="47">
        <v>300200</v>
      </c>
      <c r="J11" s="47">
        <v>300200</v>
      </c>
      <c r="K11" s="47">
        <v>47200000</v>
      </c>
      <c r="L11" s="47">
        <v>300200</v>
      </c>
      <c r="M11" s="47">
        <v>300200</v>
      </c>
      <c r="N11" s="47">
        <v>300200</v>
      </c>
      <c r="O11" s="47">
        <f t="shared" si="0"/>
        <v>97402000</v>
      </c>
    </row>
    <row r="12" spans="1:17" x14ac:dyDescent="0.2">
      <c r="A12" s="46" t="s">
        <v>157</v>
      </c>
      <c r="B12" s="47">
        <v>75876147</v>
      </c>
      <c r="C12" s="47">
        <v>6323012</v>
      </c>
      <c r="D12" s="47">
        <v>6323000</v>
      </c>
      <c r="E12" s="47">
        <v>6323000</v>
      </c>
      <c r="F12" s="47">
        <v>6323000</v>
      </c>
      <c r="G12" s="47">
        <v>6323000</v>
      </c>
      <c r="H12" s="47">
        <v>6323000</v>
      </c>
      <c r="I12" s="47">
        <v>6323000</v>
      </c>
      <c r="J12" s="47">
        <v>6323000</v>
      </c>
      <c r="K12" s="47">
        <v>6323000</v>
      </c>
      <c r="L12" s="47">
        <v>6323000</v>
      </c>
      <c r="M12" s="47">
        <v>6323000</v>
      </c>
      <c r="N12" s="47">
        <f>B12-C12-D12-E12-F12-G12-H12-I12-J12-K12-L12-M12</f>
        <v>6323135</v>
      </c>
      <c r="O12" s="47">
        <f t="shared" si="0"/>
        <v>75876147</v>
      </c>
    </row>
    <row r="13" spans="1:17" x14ac:dyDescent="0.2">
      <c r="A13" s="46" t="s">
        <v>179</v>
      </c>
      <c r="B13" s="47">
        <v>21112694</v>
      </c>
      <c r="C13" s="47"/>
      <c r="D13" s="47"/>
      <c r="E13" s="47">
        <v>5112694</v>
      </c>
      <c r="F13" s="47"/>
      <c r="G13" s="47"/>
      <c r="H13" s="47"/>
      <c r="I13" s="47">
        <v>6000000</v>
      </c>
      <c r="J13" s="47">
        <v>4000000</v>
      </c>
      <c r="K13" s="47"/>
      <c r="L13" s="47"/>
      <c r="M13" s="47">
        <v>6000000</v>
      </c>
      <c r="N13" s="47"/>
      <c r="O13" s="47">
        <f t="shared" si="0"/>
        <v>21112694</v>
      </c>
    </row>
    <row r="14" spans="1:17" ht="40.5" customHeight="1" x14ac:dyDescent="0.2">
      <c r="A14" s="124" t="s">
        <v>176</v>
      </c>
      <c r="B14" s="47">
        <v>17224731</v>
      </c>
      <c r="C14" s="47"/>
      <c r="D14" s="47"/>
      <c r="E14" s="47">
        <v>100000</v>
      </c>
      <c r="F14" s="47">
        <v>100000</v>
      </c>
      <c r="G14" s="47">
        <v>100000</v>
      </c>
      <c r="H14" s="47">
        <v>100000</v>
      </c>
      <c r="I14" s="47">
        <v>100000</v>
      </c>
      <c r="J14" s="47">
        <v>100000</v>
      </c>
      <c r="K14" s="47">
        <v>16324731</v>
      </c>
      <c r="L14" s="47">
        <v>100000</v>
      </c>
      <c r="M14" s="47">
        <v>100000</v>
      </c>
      <c r="N14" s="47">
        <v>100000</v>
      </c>
      <c r="O14" s="47">
        <f t="shared" si="0"/>
        <v>17224731</v>
      </c>
      <c r="P14" s="136"/>
    </row>
    <row r="15" spans="1:17" ht="56.25" customHeight="1" x14ac:dyDescent="0.2">
      <c r="A15" s="124" t="s">
        <v>167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>
        <f t="shared" si="0"/>
        <v>0</v>
      </c>
      <c r="Q15" s="2"/>
    </row>
    <row r="16" spans="1:17" ht="20.25" customHeight="1" x14ac:dyDescent="0.2">
      <c r="A16" s="124" t="s">
        <v>174</v>
      </c>
      <c r="B16" s="47">
        <v>210043092</v>
      </c>
      <c r="C16" s="47">
        <v>36570000</v>
      </c>
      <c r="D16" s="47">
        <v>27000000</v>
      </c>
      <c r="E16" s="47">
        <v>7200000</v>
      </c>
      <c r="F16" s="47">
        <v>31500000</v>
      </c>
      <c r="G16" s="47"/>
      <c r="H16" s="47"/>
      <c r="I16" s="47">
        <v>41500000</v>
      </c>
      <c r="J16" s="47"/>
      <c r="K16" s="47">
        <f>B16-L16-M16-N16-I16-F16-E16-D16-C16</f>
        <v>2773092</v>
      </c>
      <c r="L16" s="47">
        <v>25500000</v>
      </c>
      <c r="M16" s="47">
        <v>21500000</v>
      </c>
      <c r="N16" s="47">
        <v>16500000</v>
      </c>
      <c r="O16" s="47">
        <f t="shared" si="0"/>
        <v>210043092</v>
      </c>
      <c r="P16" s="136"/>
    </row>
    <row r="17" spans="1:15" x14ac:dyDescent="0.2">
      <c r="A17" s="55" t="s">
        <v>68</v>
      </c>
      <c r="B17" s="56">
        <f t="shared" ref="B17:N17" si="1">SUM(B9:B16)</f>
        <v>2293178294</v>
      </c>
      <c r="C17" s="56">
        <f t="shared" si="1"/>
        <v>67452738</v>
      </c>
      <c r="D17" s="56">
        <f t="shared" si="1"/>
        <v>88382726</v>
      </c>
      <c r="E17" s="56">
        <f t="shared" si="1"/>
        <v>91395220</v>
      </c>
      <c r="F17" s="56">
        <f t="shared" si="1"/>
        <v>83482726</v>
      </c>
      <c r="G17" s="56">
        <f t="shared" si="1"/>
        <v>555482726</v>
      </c>
      <c r="H17" s="56">
        <f t="shared" si="1"/>
        <v>280982726</v>
      </c>
      <c r="I17" s="56">
        <f t="shared" si="1"/>
        <v>90983226</v>
      </c>
      <c r="J17" s="56">
        <f t="shared" si="1"/>
        <v>74482726</v>
      </c>
      <c r="K17" s="56">
        <f t="shared" si="1"/>
        <v>658680879</v>
      </c>
      <c r="L17" s="56">
        <f t="shared" si="1"/>
        <v>77982726</v>
      </c>
      <c r="M17" s="56">
        <f t="shared" si="1"/>
        <v>77982726</v>
      </c>
      <c r="N17" s="56">
        <f t="shared" si="1"/>
        <v>145887149</v>
      </c>
      <c r="O17" s="56">
        <f>SUM(O9:O16)</f>
        <v>2293178294</v>
      </c>
    </row>
    <row r="18" spans="1:15" x14ac:dyDescent="0.2">
      <c r="A18" s="48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</row>
    <row r="19" spans="1:15" x14ac:dyDescent="0.2">
      <c r="A19" s="48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</row>
    <row r="20" spans="1:15" x14ac:dyDescent="0.2">
      <c r="A20" s="44" t="s">
        <v>16</v>
      </c>
      <c r="B20" s="45" t="s">
        <v>54</v>
      </c>
      <c r="C20" s="45" t="s">
        <v>55</v>
      </c>
      <c r="D20" s="45" t="s">
        <v>56</v>
      </c>
      <c r="E20" s="45" t="s">
        <v>57</v>
      </c>
      <c r="F20" s="45" t="s">
        <v>58</v>
      </c>
      <c r="G20" s="45" t="s">
        <v>59</v>
      </c>
      <c r="H20" s="45" t="s">
        <v>60</v>
      </c>
      <c r="I20" s="45" t="s">
        <v>61</v>
      </c>
      <c r="J20" s="45" t="s">
        <v>62</v>
      </c>
      <c r="K20" s="45" t="s">
        <v>63</v>
      </c>
      <c r="L20" s="45" t="s">
        <v>64</v>
      </c>
      <c r="M20" s="45" t="s">
        <v>65</v>
      </c>
      <c r="N20" s="45" t="s">
        <v>66</v>
      </c>
      <c r="O20" s="45" t="s">
        <v>41</v>
      </c>
    </row>
    <row r="21" spans="1:15" x14ac:dyDescent="0.2">
      <c r="A21" s="46" t="s">
        <v>69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</row>
    <row r="22" spans="1:15" x14ac:dyDescent="0.2">
      <c r="A22" s="46" t="s">
        <v>200</v>
      </c>
      <c r="B22" s="47">
        <v>210202479</v>
      </c>
      <c r="C22" s="47">
        <v>17516873</v>
      </c>
      <c r="D22" s="47">
        <v>17516873</v>
      </c>
      <c r="E22" s="47">
        <v>17516873</v>
      </c>
      <c r="F22" s="47">
        <v>17516873</v>
      </c>
      <c r="G22" s="47">
        <v>17516873</v>
      </c>
      <c r="H22" s="47">
        <v>17516873</v>
      </c>
      <c r="I22" s="47">
        <v>17516873</v>
      </c>
      <c r="J22" s="47">
        <v>17516873</v>
      </c>
      <c r="K22" s="47">
        <v>17516873</v>
      </c>
      <c r="L22" s="47">
        <v>17516873</v>
      </c>
      <c r="M22" s="47">
        <v>17516873</v>
      </c>
      <c r="N22" s="47">
        <f>B22-C22-D22-E22-F22-G22-H22-I22-J22-K22-L22-M22</f>
        <v>17516876</v>
      </c>
      <c r="O22" s="47">
        <f t="shared" ref="O22:O32" si="2">SUM(C22:N22)</f>
        <v>210202479</v>
      </c>
    </row>
    <row r="23" spans="1:15" ht="30.75" customHeight="1" x14ac:dyDescent="0.2">
      <c r="A23" s="124" t="s">
        <v>223</v>
      </c>
      <c r="B23" s="47">
        <v>32567612</v>
      </c>
      <c r="C23" s="47">
        <v>2713968</v>
      </c>
      <c r="D23" s="47">
        <v>2713968</v>
      </c>
      <c r="E23" s="47">
        <v>2713968</v>
      </c>
      <c r="F23" s="47">
        <v>2713968</v>
      </c>
      <c r="G23" s="47">
        <v>2713968</v>
      </c>
      <c r="H23" s="47">
        <v>2713968</v>
      </c>
      <c r="I23" s="47">
        <v>2713968</v>
      </c>
      <c r="J23" s="47">
        <v>2713968</v>
      </c>
      <c r="K23" s="47">
        <v>2713968</v>
      </c>
      <c r="L23" s="47">
        <v>2713968</v>
      </c>
      <c r="M23" s="47">
        <v>2713968</v>
      </c>
      <c r="N23" s="47">
        <f t="shared" ref="N23:N26" si="3">B23-C23-D23-E23-F23-G23-H23-I23-J23-K23-L23-M23</f>
        <v>2713964</v>
      </c>
      <c r="O23" s="47">
        <f t="shared" si="2"/>
        <v>32567612</v>
      </c>
    </row>
    <row r="24" spans="1:15" x14ac:dyDescent="0.2">
      <c r="A24" s="46" t="s">
        <v>202</v>
      </c>
      <c r="B24" s="93">
        <v>408828641</v>
      </c>
      <c r="C24" s="47">
        <v>34069053</v>
      </c>
      <c r="D24" s="47">
        <v>34069053</v>
      </c>
      <c r="E24" s="47">
        <v>34069053</v>
      </c>
      <c r="F24" s="47">
        <v>34069053</v>
      </c>
      <c r="G24" s="47">
        <v>34069053</v>
      </c>
      <c r="H24" s="47">
        <v>34069053</v>
      </c>
      <c r="I24" s="47">
        <v>34069053</v>
      </c>
      <c r="J24" s="47">
        <v>34069053</v>
      </c>
      <c r="K24" s="47">
        <v>34069053</v>
      </c>
      <c r="L24" s="47">
        <v>34069053</v>
      </c>
      <c r="M24" s="47">
        <v>34069053</v>
      </c>
      <c r="N24" s="47">
        <f t="shared" si="3"/>
        <v>34069058</v>
      </c>
      <c r="O24" s="47">
        <f>SUM(C24:N24)</f>
        <v>408828641</v>
      </c>
    </row>
    <row r="25" spans="1:15" ht="18" customHeight="1" x14ac:dyDescent="0.2">
      <c r="A25" s="46" t="s">
        <v>203</v>
      </c>
      <c r="B25" s="47">
        <v>14005000</v>
      </c>
      <c r="C25" s="47">
        <v>1167083</v>
      </c>
      <c r="D25" s="47">
        <v>1167083</v>
      </c>
      <c r="E25" s="47">
        <v>1167083</v>
      </c>
      <c r="F25" s="47">
        <v>1167083</v>
      </c>
      <c r="G25" s="47">
        <v>1167083</v>
      </c>
      <c r="H25" s="47">
        <v>1167083</v>
      </c>
      <c r="I25" s="47">
        <v>1167083</v>
      </c>
      <c r="J25" s="47">
        <v>1167083</v>
      </c>
      <c r="K25" s="47">
        <v>1167083</v>
      </c>
      <c r="L25" s="47">
        <v>1167083</v>
      </c>
      <c r="M25" s="47">
        <v>1167083</v>
      </c>
      <c r="N25" s="47">
        <f t="shared" si="3"/>
        <v>1167087</v>
      </c>
      <c r="O25" s="47">
        <f>SUM(C25:N25)</f>
        <v>14005000</v>
      </c>
    </row>
    <row r="26" spans="1:15" ht="22.5" x14ac:dyDescent="0.2">
      <c r="A26" s="124" t="s">
        <v>224</v>
      </c>
      <c r="B26" s="47">
        <v>135707092</v>
      </c>
      <c r="C26" s="47">
        <v>750000</v>
      </c>
      <c r="D26" s="47">
        <v>11960000</v>
      </c>
      <c r="E26" s="47">
        <v>12560000</v>
      </c>
      <c r="F26" s="47">
        <v>11960000</v>
      </c>
      <c r="G26" s="47">
        <f>11960000+1433000</f>
        <v>13393000</v>
      </c>
      <c r="H26" s="47">
        <v>11960000</v>
      </c>
      <c r="I26" s="47">
        <f>11960000+1350000</f>
        <v>13310000</v>
      </c>
      <c r="J26" s="47">
        <v>11960000</v>
      </c>
      <c r="K26" s="47">
        <v>11960000</v>
      </c>
      <c r="L26" s="47">
        <v>11960000</v>
      </c>
      <c r="M26" s="47">
        <v>11960000</v>
      </c>
      <c r="N26" s="47">
        <f t="shared" si="3"/>
        <v>11974092</v>
      </c>
      <c r="O26" s="47">
        <f t="shared" si="2"/>
        <v>135707092</v>
      </c>
    </row>
    <row r="27" spans="1:15" s="94" customFormat="1" x14ac:dyDescent="0.2">
      <c r="A27" s="92" t="s">
        <v>225</v>
      </c>
      <c r="B27" s="93">
        <v>15000000</v>
      </c>
      <c r="C27" s="47"/>
      <c r="D27" s="47"/>
      <c r="E27" s="47">
        <v>5000000</v>
      </c>
      <c r="F27" s="47"/>
      <c r="G27" s="47"/>
      <c r="H27" s="47"/>
      <c r="I27" s="47"/>
      <c r="J27" s="47"/>
      <c r="K27" s="47">
        <v>5000000</v>
      </c>
      <c r="L27" s="47"/>
      <c r="M27" s="47">
        <v>5000000</v>
      </c>
      <c r="N27" s="47"/>
      <c r="O27" s="93">
        <f>SUM(C27:N27)</f>
        <v>15000000</v>
      </c>
    </row>
    <row r="28" spans="1:15" x14ac:dyDescent="0.2">
      <c r="A28" s="46" t="s">
        <v>204</v>
      </c>
      <c r="B28" s="47">
        <v>1433335193</v>
      </c>
      <c r="C28" s="47"/>
      <c r="D28" s="47">
        <f>3932000+15917525+2126</f>
        <v>19851651</v>
      </c>
      <c r="E28" s="47">
        <v>1969135</v>
      </c>
      <c r="F28" s="47">
        <f>12931192+3491422</f>
        <v>16422614</v>
      </c>
      <c r="G28" s="47">
        <f>37352243+10085105+3590464+254000+38100+381616274+103036394</f>
        <v>535972580</v>
      </c>
      <c r="H28" s="47">
        <f>B28-D28-E28-F28-G28-K28-L28-I28</f>
        <v>215226626</v>
      </c>
      <c r="I28" s="47">
        <f>17789009+4803033</f>
        <v>22592042</v>
      </c>
      <c r="J28" s="47"/>
      <c r="K28" s="47">
        <f>609790566+1509979</f>
        <v>611300545</v>
      </c>
      <c r="L28" s="47">
        <v>10000000</v>
      </c>
      <c r="M28" s="47"/>
      <c r="N28" s="47"/>
      <c r="O28" s="47">
        <f>SUM(C28:N28)</f>
        <v>1433335193</v>
      </c>
    </row>
    <row r="29" spans="1:15" ht="36.75" customHeight="1" x14ac:dyDescent="0.2">
      <c r="A29" s="124" t="s">
        <v>205</v>
      </c>
      <c r="B29" s="47">
        <v>17903476</v>
      </c>
      <c r="C29" s="47"/>
      <c r="D29" s="47"/>
      <c r="E29" s="47">
        <f>(8907883+2405129)-4500000</f>
        <v>6813012</v>
      </c>
      <c r="F29" s="47"/>
      <c r="G29" s="47">
        <v>2000000</v>
      </c>
      <c r="H29" s="47">
        <v>1000000</v>
      </c>
      <c r="I29" s="47"/>
      <c r="J29" s="47">
        <v>3590464</v>
      </c>
      <c r="K29" s="47">
        <v>4500000</v>
      </c>
      <c r="L29" s="47"/>
      <c r="M29" s="47"/>
      <c r="N29" s="47"/>
      <c r="O29" s="47">
        <f t="shared" si="2"/>
        <v>17903476</v>
      </c>
    </row>
    <row r="30" spans="1:15" x14ac:dyDescent="0.2">
      <c r="A30" s="46" t="s">
        <v>206</v>
      </c>
      <c r="B30" s="93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>
        <f t="shared" si="2"/>
        <v>0</v>
      </c>
    </row>
    <row r="31" spans="1:15" x14ac:dyDescent="0.2">
      <c r="A31" s="46" t="s">
        <v>314</v>
      </c>
      <c r="B31" s="93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>
        <f t="shared" si="2"/>
        <v>0</v>
      </c>
    </row>
    <row r="32" spans="1:15" x14ac:dyDescent="0.2">
      <c r="A32" s="46" t="s">
        <v>315</v>
      </c>
      <c r="B32" s="93">
        <v>25628801</v>
      </c>
      <c r="C32" s="47">
        <v>10353836</v>
      </c>
      <c r="D32" s="47"/>
      <c r="E32" s="47">
        <f>15274965/2</f>
        <v>7637482.5</v>
      </c>
      <c r="F32" s="47"/>
      <c r="G32" s="47"/>
      <c r="H32" s="47"/>
      <c r="I32" s="47"/>
      <c r="J32" s="47"/>
      <c r="K32" s="47">
        <f>B32-C32-E32</f>
        <v>7637482.5</v>
      </c>
      <c r="L32" s="47"/>
      <c r="M32" s="47"/>
      <c r="N32" s="47"/>
      <c r="O32" s="47">
        <f t="shared" si="2"/>
        <v>25628801</v>
      </c>
    </row>
    <row r="33" spans="1:15" x14ac:dyDescent="0.2">
      <c r="A33" s="55" t="s">
        <v>70</v>
      </c>
      <c r="B33" s="56">
        <f>SUM(B22:B32)</f>
        <v>2293178294</v>
      </c>
      <c r="C33" s="56">
        <f t="shared" ref="C33:N33" si="4">SUM(C22:C32)</f>
        <v>66570813</v>
      </c>
      <c r="D33" s="56">
        <f t="shared" si="4"/>
        <v>87278628</v>
      </c>
      <c r="E33" s="56">
        <f t="shared" si="4"/>
        <v>89446606.5</v>
      </c>
      <c r="F33" s="56">
        <f t="shared" si="4"/>
        <v>83849591</v>
      </c>
      <c r="G33" s="56">
        <f t="shared" si="4"/>
        <v>606832557</v>
      </c>
      <c r="H33" s="56">
        <f t="shared" si="4"/>
        <v>283653603</v>
      </c>
      <c r="I33" s="56">
        <f t="shared" si="4"/>
        <v>91369019</v>
      </c>
      <c r="J33" s="56">
        <f t="shared" si="4"/>
        <v>71017441</v>
      </c>
      <c r="K33" s="56">
        <f t="shared" si="4"/>
        <v>695865004.5</v>
      </c>
      <c r="L33" s="56">
        <f t="shared" si="4"/>
        <v>77426977</v>
      </c>
      <c r="M33" s="56">
        <f t="shared" si="4"/>
        <v>72426977</v>
      </c>
      <c r="N33" s="56">
        <f t="shared" si="4"/>
        <v>67441077</v>
      </c>
      <c r="O33" s="56">
        <f>SUM(O22:O32)</f>
        <v>2293178294</v>
      </c>
    </row>
    <row r="35" spans="1:15" x14ac:dyDescent="0.2">
      <c r="B35" s="641"/>
    </row>
    <row r="37" spans="1:15" x14ac:dyDescent="0.2">
      <c r="B37" s="127"/>
      <c r="L37" s="2"/>
    </row>
  </sheetData>
  <mergeCells count="1">
    <mergeCell ref="A3:O3"/>
  </mergeCells>
  <phoneticPr fontId="4" type="noConversion"/>
  <pageMargins left="0.75" right="0.75" top="1" bottom="1" header="0.5" footer="0.5"/>
  <pageSetup paperSize="9" scale="61" orientation="landscape" r:id="rId1"/>
  <headerFooter alignWithMargins="0">
    <oddHeader>&amp;R8 sz. melléklet
.../2018.(....) Egyek Önk.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1"/>
  <sheetViews>
    <sheetView tabSelected="1" topLeftCell="A17" zoomScale="120" zoomScaleNormal="120" workbookViewId="0">
      <selection activeCell="E17" sqref="E17"/>
    </sheetView>
  </sheetViews>
  <sheetFormatPr defaultRowHeight="12.75" x14ac:dyDescent="0.2"/>
  <cols>
    <col min="2" max="2" width="10.140625" customWidth="1"/>
    <col min="3" max="3" width="35.42578125" customWidth="1"/>
    <col min="4" max="4" width="17.7109375" customWidth="1"/>
    <col min="5" max="5" width="16.42578125" customWidth="1"/>
  </cols>
  <sheetData>
    <row r="2" spans="2:5" x14ac:dyDescent="0.2">
      <c r="C2" s="972" t="s">
        <v>544</v>
      </c>
      <c r="D2" s="972"/>
      <c r="E2" s="972"/>
    </row>
    <row r="3" spans="2:5" ht="14.25" x14ac:dyDescent="0.2">
      <c r="C3" s="973" t="s">
        <v>15</v>
      </c>
      <c r="D3" s="973"/>
      <c r="E3" s="54"/>
    </row>
    <row r="4" spans="2:5" ht="15.75" thickBot="1" x14ac:dyDescent="0.25">
      <c r="B4" s="51"/>
      <c r="C4" s="974"/>
      <c r="D4" s="974"/>
      <c r="E4" s="52" t="s">
        <v>104</v>
      </c>
    </row>
    <row r="5" spans="2:5" ht="39" thickBot="1" x14ac:dyDescent="0.25">
      <c r="B5" s="70" t="s">
        <v>77</v>
      </c>
      <c r="C5" s="71" t="s">
        <v>73</v>
      </c>
      <c r="D5" s="71" t="s">
        <v>0</v>
      </c>
      <c r="E5" s="72" t="s">
        <v>1</v>
      </c>
    </row>
    <row r="6" spans="2:5" ht="13.5" thickBot="1" x14ac:dyDescent="0.25">
      <c r="B6" s="73">
        <v>1</v>
      </c>
      <c r="C6" s="74">
        <v>2</v>
      </c>
      <c r="D6" s="74">
        <v>3</v>
      </c>
      <c r="E6" s="400">
        <v>4</v>
      </c>
    </row>
    <row r="7" spans="2:5" x14ac:dyDescent="0.2">
      <c r="B7" s="75" t="s">
        <v>18</v>
      </c>
      <c r="C7" s="76" t="s">
        <v>2</v>
      </c>
      <c r="D7" s="77"/>
      <c r="E7" s="401"/>
    </row>
    <row r="8" spans="2:5" x14ac:dyDescent="0.2">
      <c r="B8" s="78" t="s">
        <v>22</v>
      </c>
      <c r="C8" s="79" t="s">
        <v>3</v>
      </c>
      <c r="D8" s="80"/>
      <c r="E8" s="402"/>
    </row>
    <row r="9" spans="2:5" ht="25.5" x14ac:dyDescent="0.2">
      <c r="B9" s="78" t="s">
        <v>26</v>
      </c>
      <c r="C9" s="79" t="s">
        <v>4</v>
      </c>
      <c r="D9" s="80"/>
      <c r="E9" s="402"/>
    </row>
    <row r="10" spans="2:5" ht="25.5" x14ac:dyDescent="0.2">
      <c r="B10" s="78" t="s">
        <v>20</v>
      </c>
      <c r="C10" s="79" t="s">
        <v>5</v>
      </c>
      <c r="D10" s="80"/>
      <c r="E10" s="402"/>
    </row>
    <row r="11" spans="2:5" ht="25.5" x14ac:dyDescent="0.2">
      <c r="B11" s="78" t="s">
        <v>23</v>
      </c>
      <c r="C11" s="79" t="s">
        <v>6</v>
      </c>
      <c r="D11" s="80"/>
      <c r="E11" s="402"/>
    </row>
    <row r="12" spans="2:5" ht="25.5" x14ac:dyDescent="0.2">
      <c r="B12" s="78" t="s">
        <v>21</v>
      </c>
      <c r="C12" s="79" t="s">
        <v>6</v>
      </c>
      <c r="D12" s="80"/>
      <c r="E12" s="402"/>
    </row>
    <row r="13" spans="2:5" ht="25.5" x14ac:dyDescent="0.2">
      <c r="B13" s="78" t="s">
        <v>29</v>
      </c>
      <c r="C13" s="79" t="s">
        <v>6</v>
      </c>
      <c r="D13" s="80"/>
      <c r="E13" s="402"/>
    </row>
    <row r="14" spans="2:5" ht="22.5" x14ac:dyDescent="0.2">
      <c r="B14" s="78" t="s">
        <v>19</v>
      </c>
      <c r="C14" s="403" t="s">
        <v>311</v>
      </c>
      <c r="D14" s="404">
        <v>1011025</v>
      </c>
      <c r="E14" s="405">
        <v>1011025</v>
      </c>
    </row>
    <row r="15" spans="2:5" ht="22.5" x14ac:dyDescent="0.2">
      <c r="B15" s="78" t="s">
        <v>25</v>
      </c>
      <c r="C15" s="406" t="s">
        <v>312</v>
      </c>
      <c r="D15" s="407">
        <f>SUM(D16:D17)</f>
        <v>1132900</v>
      </c>
      <c r="E15" s="407">
        <f>SUM(E16:E17)</f>
        <v>1132900</v>
      </c>
    </row>
    <row r="16" spans="2:5" ht="45" x14ac:dyDescent="0.2">
      <c r="B16" s="287" t="s">
        <v>381</v>
      </c>
      <c r="C16" s="403" t="s">
        <v>445</v>
      </c>
      <c r="D16" s="80">
        <v>400900</v>
      </c>
      <c r="E16" s="402">
        <v>400900</v>
      </c>
    </row>
    <row r="17" spans="2:5" ht="45" x14ac:dyDescent="0.2">
      <c r="B17" s="287" t="s">
        <v>431</v>
      </c>
      <c r="C17" s="403" t="s">
        <v>445</v>
      </c>
      <c r="D17" s="80">
        <v>732000</v>
      </c>
      <c r="E17" s="402">
        <v>732000</v>
      </c>
    </row>
    <row r="18" spans="2:5" ht="25.5" x14ac:dyDescent="0.2">
      <c r="B18" s="78" t="s">
        <v>42</v>
      </c>
      <c r="C18" s="79" t="s">
        <v>7</v>
      </c>
      <c r="D18" s="80"/>
      <c r="E18" s="402"/>
    </row>
    <row r="19" spans="2:5" x14ac:dyDescent="0.2">
      <c r="B19" s="78" t="s">
        <v>32</v>
      </c>
      <c r="C19" s="79" t="s">
        <v>8</v>
      </c>
      <c r="D19" s="80"/>
      <c r="E19" s="402"/>
    </row>
    <row r="20" spans="2:5" x14ac:dyDescent="0.2">
      <c r="B20" s="78" t="s">
        <v>90</v>
      </c>
      <c r="C20" s="79" t="s">
        <v>9</v>
      </c>
      <c r="D20" s="80"/>
      <c r="E20" s="402"/>
    </row>
    <row r="21" spans="2:5" ht="15" x14ac:dyDescent="0.2">
      <c r="B21" s="95" t="s">
        <v>93</v>
      </c>
      <c r="C21" s="96" t="s">
        <v>10</v>
      </c>
      <c r="D21" s="408">
        <f>SUM(D22:D25)</f>
        <v>2537493</v>
      </c>
      <c r="E21" s="408">
        <f>SUM(E22:E25)</f>
        <v>2537493</v>
      </c>
    </row>
    <row r="22" spans="2:5" ht="45" x14ac:dyDescent="0.2">
      <c r="B22" s="82" t="s">
        <v>11</v>
      </c>
      <c r="C22" s="409" t="s">
        <v>378</v>
      </c>
      <c r="D22" s="81">
        <v>14000</v>
      </c>
      <c r="E22" s="417">
        <v>14000</v>
      </c>
    </row>
    <row r="23" spans="2:5" ht="33.75" x14ac:dyDescent="0.2">
      <c r="B23" s="82" t="s">
        <v>11</v>
      </c>
      <c r="C23" s="409" t="s">
        <v>379</v>
      </c>
      <c r="D23" s="83">
        <v>2451658</v>
      </c>
      <c r="E23" s="418">
        <v>2451658</v>
      </c>
    </row>
    <row r="24" spans="2:5" ht="45" x14ac:dyDescent="0.2">
      <c r="B24" s="82" t="s">
        <v>12</v>
      </c>
      <c r="C24" s="409" t="s">
        <v>380</v>
      </c>
      <c r="D24" s="83">
        <v>31500</v>
      </c>
      <c r="E24" s="418">
        <v>31500</v>
      </c>
    </row>
    <row r="25" spans="2:5" ht="45" x14ac:dyDescent="0.2">
      <c r="B25" s="82" t="s">
        <v>113</v>
      </c>
      <c r="C25" s="409" t="s">
        <v>382</v>
      </c>
      <c r="D25" s="83">
        <v>40335</v>
      </c>
      <c r="E25" s="418">
        <v>40335</v>
      </c>
    </row>
    <row r="26" spans="2:5" ht="15.75" x14ac:dyDescent="0.2">
      <c r="B26" s="410" t="s">
        <v>91</v>
      </c>
      <c r="C26" s="411" t="s">
        <v>228</v>
      </c>
      <c r="D26" s="412">
        <f>SUM(D27:D28)</f>
        <v>4322880</v>
      </c>
      <c r="E26" s="412">
        <f>SUM(E27:E28)</f>
        <v>4322880</v>
      </c>
    </row>
    <row r="27" spans="2:5" ht="33.75" x14ac:dyDescent="0.2">
      <c r="B27" s="287" t="s">
        <v>226</v>
      </c>
      <c r="C27" s="403" t="s">
        <v>545</v>
      </c>
      <c r="D27" s="413">
        <v>3785040</v>
      </c>
      <c r="E27" s="413">
        <v>3785040</v>
      </c>
    </row>
    <row r="28" spans="2:5" ht="33.75" x14ac:dyDescent="0.2">
      <c r="B28" s="287" t="s">
        <v>227</v>
      </c>
      <c r="C28" s="403" t="s">
        <v>546</v>
      </c>
      <c r="D28" s="80">
        <v>537840</v>
      </c>
      <c r="E28" s="80">
        <v>537840</v>
      </c>
    </row>
    <row r="29" spans="2:5" ht="1.5" customHeight="1" x14ac:dyDescent="0.2">
      <c r="B29" s="414" t="s">
        <v>92</v>
      </c>
      <c r="C29" s="415"/>
      <c r="D29" s="416"/>
      <c r="E29" s="405"/>
    </row>
    <row r="30" spans="2:5" ht="16.5" thickBot="1" x14ac:dyDescent="0.25">
      <c r="B30" s="419" t="s">
        <v>95</v>
      </c>
      <c r="C30" s="420" t="s">
        <v>30</v>
      </c>
      <c r="D30" s="421">
        <f>D26+D21+D14+D15</f>
        <v>9004298</v>
      </c>
      <c r="E30" s="422">
        <f>E26+E21+E14+E15</f>
        <v>9004298</v>
      </c>
    </row>
    <row r="31" spans="2:5" x14ac:dyDescent="0.2">
      <c r="B31" s="53" t="s">
        <v>13</v>
      </c>
      <c r="C31" s="975" t="s">
        <v>14</v>
      </c>
      <c r="D31" s="975"/>
      <c r="E31" s="975"/>
    </row>
  </sheetData>
  <mergeCells count="4">
    <mergeCell ref="C2:E2"/>
    <mergeCell ref="C3:D3"/>
    <mergeCell ref="C4:D4"/>
    <mergeCell ref="C31:E31"/>
  </mergeCells>
  <phoneticPr fontId="39" type="noConversion"/>
  <pageMargins left="0.74803149606299213" right="0.74803149606299213" top="0.98425196850393704" bottom="0.78740157480314965" header="0.51181102362204722" footer="0.51181102362204722"/>
  <pageSetup paperSize="9" scale="97" orientation="portrait" r:id="rId1"/>
  <headerFooter alignWithMargins="0">
    <oddHeader>&amp;R9. sz. melléklet
....../2020.(.......) Egyek. Önk.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M38"/>
  <sheetViews>
    <sheetView topLeftCell="A15" zoomScale="110" zoomScaleNormal="110" workbookViewId="0">
      <selection activeCell="D15" sqref="D15"/>
    </sheetView>
  </sheetViews>
  <sheetFormatPr defaultRowHeight="12.75" x14ac:dyDescent="0.2"/>
  <cols>
    <col min="1" max="1" width="33.28515625" style="4" customWidth="1"/>
    <col min="2" max="2" width="18.28515625" style="4" customWidth="1"/>
    <col min="3" max="3" width="18.7109375" style="4" customWidth="1"/>
    <col min="4" max="4" width="17" style="4" customWidth="1"/>
    <col min="5" max="5" width="33.7109375" style="4" customWidth="1"/>
    <col min="6" max="6" width="16.85546875" style="4" customWidth="1"/>
    <col min="7" max="7" width="16.5703125" style="155" customWidth="1"/>
    <col min="8" max="8" width="19.7109375" style="4" customWidth="1"/>
    <col min="9" max="9" width="17.5703125" bestFit="1" customWidth="1"/>
    <col min="10" max="10" width="16.5703125" bestFit="1" customWidth="1"/>
    <col min="12" max="12" width="17.42578125" bestFit="1" customWidth="1"/>
    <col min="13" max="13" width="12.5703125" bestFit="1" customWidth="1"/>
  </cols>
  <sheetData>
    <row r="1" spans="1:13" x14ac:dyDescent="0.2">
      <c r="G1" s="154"/>
    </row>
    <row r="2" spans="1:13" x14ac:dyDescent="0.2">
      <c r="A2" s="979" t="s">
        <v>559</v>
      </c>
      <c r="B2" s="979"/>
      <c r="C2" s="979"/>
      <c r="D2" s="979"/>
      <c r="E2" s="979"/>
      <c r="F2" s="979"/>
      <c r="G2" s="979"/>
      <c r="H2" s="979"/>
    </row>
    <row r="3" spans="1:13" ht="35.25" customHeight="1" x14ac:dyDescent="0.2">
      <c r="A3" s="979"/>
      <c r="B3" s="979"/>
      <c r="C3" s="979"/>
      <c r="D3" s="979"/>
      <c r="E3" s="979"/>
      <c r="F3" s="979"/>
      <c r="G3" s="979"/>
      <c r="H3" s="979"/>
    </row>
    <row r="4" spans="1:13" x14ac:dyDescent="0.2">
      <c r="A4" s="10"/>
      <c r="B4" s="10"/>
      <c r="D4" s="10"/>
    </row>
    <row r="5" spans="1:13" ht="13.5" thickBot="1" x14ac:dyDescent="0.25">
      <c r="G5" s="980" t="s">
        <v>28</v>
      </c>
      <c r="H5" s="980"/>
    </row>
    <row r="6" spans="1:13" x14ac:dyDescent="0.2">
      <c r="A6" s="990" t="s">
        <v>440</v>
      </c>
      <c r="B6" s="976" t="s">
        <v>556</v>
      </c>
      <c r="C6" s="976" t="s">
        <v>557</v>
      </c>
      <c r="D6" s="976" t="s">
        <v>558</v>
      </c>
      <c r="E6" s="990" t="s">
        <v>17</v>
      </c>
      <c r="F6" s="976" t="s">
        <v>556</v>
      </c>
      <c r="G6" s="976" t="s">
        <v>557</v>
      </c>
      <c r="H6" s="976" t="s">
        <v>558</v>
      </c>
    </row>
    <row r="7" spans="1:13" x14ac:dyDescent="0.2">
      <c r="A7" s="991"/>
      <c r="B7" s="977"/>
      <c r="C7" s="977"/>
      <c r="D7" s="977"/>
      <c r="E7" s="991"/>
      <c r="F7" s="977"/>
      <c r="G7" s="977"/>
      <c r="H7" s="977"/>
    </row>
    <row r="8" spans="1:13" ht="13.5" thickBot="1" x14ac:dyDescent="0.25">
      <c r="A8" s="992"/>
      <c r="B8" s="978"/>
      <c r="C8" s="978"/>
      <c r="D8" s="978"/>
      <c r="E8" s="992"/>
      <c r="F8" s="978"/>
      <c r="G8" s="978"/>
      <c r="H8" s="978"/>
    </row>
    <row r="9" spans="1:13" ht="26.25" thickBot="1" x14ac:dyDescent="0.25">
      <c r="A9" s="426"/>
      <c r="B9" s="290"/>
      <c r="C9" s="290"/>
      <c r="D9" s="294"/>
      <c r="E9" s="297" t="s">
        <v>159</v>
      </c>
      <c r="F9" s="301">
        <v>737672630</v>
      </c>
      <c r="G9" s="301">
        <v>694311595</v>
      </c>
      <c r="H9" s="535">
        <f>291114315+77904285</f>
        <v>369018600</v>
      </c>
      <c r="I9" s="709"/>
      <c r="L9" s="127"/>
    </row>
    <row r="10" spans="1:13" ht="25.5" x14ac:dyDescent="0.2">
      <c r="A10" s="426" t="s">
        <v>200</v>
      </c>
      <c r="B10" s="290">
        <v>502547283</v>
      </c>
      <c r="C10" s="290">
        <v>474384466</v>
      </c>
      <c r="D10" s="294">
        <v>210202479</v>
      </c>
      <c r="E10" s="526" t="s">
        <v>165</v>
      </c>
      <c r="F10" s="864"/>
      <c r="G10" s="864"/>
      <c r="H10" s="865">
        <f>1502501030-H22</f>
        <v>176485669</v>
      </c>
      <c r="I10" s="709"/>
      <c r="L10" s="127"/>
    </row>
    <row r="11" spans="1:13" ht="25.5" customHeight="1" x14ac:dyDescent="0.2">
      <c r="A11" s="427" t="s">
        <v>223</v>
      </c>
      <c r="B11" s="289">
        <v>65742544</v>
      </c>
      <c r="C11" s="289">
        <v>60898284</v>
      </c>
      <c r="D11" s="295">
        <v>32567612</v>
      </c>
      <c r="E11" s="298" t="s">
        <v>247</v>
      </c>
      <c r="F11" s="302">
        <v>87823716</v>
      </c>
      <c r="G11" s="302">
        <v>77368771</v>
      </c>
      <c r="H11" s="536">
        <v>97402000</v>
      </c>
      <c r="I11" s="709"/>
      <c r="L11" s="127"/>
    </row>
    <row r="12" spans="1:13" ht="14.25" customHeight="1" x14ac:dyDescent="0.2">
      <c r="A12" s="428" t="s">
        <v>202</v>
      </c>
      <c r="B12" s="289">
        <v>182605783</v>
      </c>
      <c r="C12" s="289">
        <v>423032998</v>
      </c>
      <c r="D12" s="295">
        <v>408828641</v>
      </c>
      <c r="E12" s="299" t="s">
        <v>157</v>
      </c>
      <c r="F12" s="302">
        <v>69157104</v>
      </c>
      <c r="G12" s="302">
        <v>51494750</v>
      </c>
      <c r="H12" s="536">
        <f>75876147-H24</f>
        <v>60108445</v>
      </c>
      <c r="I12" s="708"/>
      <c r="J12" s="1"/>
      <c r="K12" s="190"/>
      <c r="L12" s="127"/>
    </row>
    <row r="13" spans="1:13" x14ac:dyDescent="0.2">
      <c r="A13" s="428" t="s">
        <v>203</v>
      </c>
      <c r="B13" s="289">
        <v>17717099</v>
      </c>
      <c r="C13" s="289">
        <v>9507143</v>
      </c>
      <c r="D13" s="295">
        <v>14005000</v>
      </c>
      <c r="E13" s="293" t="s">
        <v>176</v>
      </c>
      <c r="F13" s="302">
        <v>13637767</v>
      </c>
      <c r="G13" s="302">
        <v>13653774</v>
      </c>
      <c r="H13" s="536">
        <v>17224731</v>
      </c>
    </row>
    <row r="14" spans="1:13" x14ac:dyDescent="0.2">
      <c r="A14" s="428" t="s">
        <v>229</v>
      </c>
      <c r="B14" s="289">
        <v>103133455</v>
      </c>
      <c r="C14" s="289">
        <v>108934943</v>
      </c>
      <c r="D14" s="295">
        <v>145707092</v>
      </c>
      <c r="E14" s="298" t="s">
        <v>248</v>
      </c>
      <c r="F14" s="666">
        <v>172630161</v>
      </c>
      <c r="G14" s="666">
        <f>G15+G16</f>
        <v>589410902</v>
      </c>
      <c r="H14" s="536">
        <f>SUM(H15:H16)</f>
        <v>101425215</v>
      </c>
      <c r="I14" s="710"/>
      <c r="K14" s="2"/>
    </row>
    <row r="15" spans="1:13" ht="15.75" customHeight="1" x14ac:dyDescent="0.2">
      <c r="A15" s="428" t="s">
        <v>230</v>
      </c>
      <c r="B15" s="289">
        <v>103133455</v>
      </c>
      <c r="C15" s="289"/>
      <c r="D15" s="295">
        <v>10000000</v>
      </c>
      <c r="E15" s="299" t="s">
        <v>398</v>
      </c>
      <c r="F15" s="666">
        <v>162501555</v>
      </c>
      <c r="G15" s="666">
        <v>526241051</v>
      </c>
      <c r="H15" s="291">
        <v>101425215</v>
      </c>
    </row>
    <row r="16" spans="1:13" ht="15.75" customHeight="1" thickBot="1" x14ac:dyDescent="0.25">
      <c r="A16" s="429" t="s">
        <v>214</v>
      </c>
      <c r="B16" s="425"/>
      <c r="C16" s="292">
        <v>209064070</v>
      </c>
      <c r="D16" s="296">
        <v>10353836</v>
      </c>
      <c r="E16" s="300" t="s">
        <v>400</v>
      </c>
      <c r="F16" s="303">
        <v>10128606</v>
      </c>
      <c r="G16" s="303">
        <v>63169851</v>
      </c>
      <c r="H16" s="304"/>
      <c r="L16" s="127"/>
      <c r="M16" s="127"/>
    </row>
    <row r="17" spans="1:13" ht="13.5" thickBot="1" x14ac:dyDescent="0.25">
      <c r="A17" s="13" t="s">
        <v>34</v>
      </c>
      <c r="B17" s="528">
        <f>SUM(B9+B11+B12+B13+B14+B16)</f>
        <v>369198881</v>
      </c>
      <c r="C17" s="528">
        <f>SUM(C9+C11+C12+C13+C14+C16)</f>
        <v>811437438</v>
      </c>
      <c r="D17" s="528">
        <f>SUM(D10:D16)-D15</f>
        <v>821664660</v>
      </c>
      <c r="E17" s="529" t="s">
        <v>35</v>
      </c>
      <c r="F17" s="528">
        <f>F9+F11+F12+F13+F14</f>
        <v>1080921378</v>
      </c>
      <c r="G17" s="528">
        <f>G9+G11+G12+G13+G14</f>
        <v>1426239792</v>
      </c>
      <c r="H17" s="528">
        <f>H9+H10+H11+H12+H13+H14</f>
        <v>821664660</v>
      </c>
      <c r="I17" s="641"/>
      <c r="J17" s="127"/>
      <c r="L17" s="641"/>
    </row>
    <row r="18" spans="1:13" x14ac:dyDescent="0.2">
      <c r="A18" s="984"/>
      <c r="B18" s="985"/>
      <c r="C18" s="985"/>
      <c r="D18" s="985"/>
      <c r="E18" s="985"/>
      <c r="F18" s="985"/>
      <c r="G18" s="985"/>
      <c r="H18" s="986"/>
      <c r="J18" s="127"/>
      <c r="L18" s="127"/>
    </row>
    <row r="19" spans="1:13" ht="13.5" thickBot="1" x14ac:dyDescent="0.25">
      <c r="A19" s="987"/>
      <c r="B19" s="988"/>
      <c r="C19" s="988"/>
      <c r="D19" s="988"/>
      <c r="E19" s="988"/>
      <c r="F19" s="988"/>
      <c r="G19" s="988"/>
      <c r="H19" s="989"/>
      <c r="J19" s="127"/>
    </row>
    <row r="20" spans="1:13" ht="41.25" customHeight="1" thickBot="1" x14ac:dyDescent="0.25">
      <c r="A20" s="690" t="s">
        <v>36</v>
      </c>
      <c r="B20" s="688" t="s">
        <v>556</v>
      </c>
      <c r="C20" s="688" t="s">
        <v>557</v>
      </c>
      <c r="D20" s="689" t="s">
        <v>558</v>
      </c>
      <c r="E20" s="692" t="s">
        <v>37</v>
      </c>
      <c r="F20" s="691" t="s">
        <v>556</v>
      </c>
      <c r="G20" s="691" t="s">
        <v>557</v>
      </c>
      <c r="H20" s="691" t="s">
        <v>558</v>
      </c>
      <c r="J20" s="127"/>
      <c r="L20" s="127"/>
      <c r="M20" s="127"/>
    </row>
    <row r="21" spans="1:13" ht="27" customHeight="1" x14ac:dyDescent="0.2">
      <c r="A21" s="517"/>
      <c r="B21" s="686"/>
      <c r="C21" s="686"/>
      <c r="D21" s="687"/>
      <c r="E21" s="527" t="s">
        <v>399</v>
      </c>
      <c r="F21" s="707">
        <v>28252861</v>
      </c>
      <c r="G21" s="707">
        <v>26592133</v>
      </c>
      <c r="H21" s="535"/>
      <c r="J21" s="641"/>
      <c r="L21" s="127"/>
      <c r="M21" s="127"/>
    </row>
    <row r="22" spans="1:13" ht="25.5" x14ac:dyDescent="0.2">
      <c r="A22" s="517"/>
      <c r="B22" s="518"/>
      <c r="C22" s="518"/>
      <c r="D22" s="525"/>
      <c r="E22" s="526" t="s">
        <v>165</v>
      </c>
      <c r="F22" s="302">
        <f>994671242-872001333</f>
        <v>122669909</v>
      </c>
      <c r="G22" s="302">
        <v>671697561</v>
      </c>
      <c r="H22" s="536">
        <v>1326015361</v>
      </c>
      <c r="J22" s="641"/>
      <c r="M22" s="127"/>
    </row>
    <row r="23" spans="1:13" x14ac:dyDescent="0.2">
      <c r="A23" s="517"/>
      <c r="B23" s="518"/>
      <c r="C23" s="518"/>
      <c r="D23" s="525"/>
      <c r="E23" s="298" t="s">
        <v>247</v>
      </c>
      <c r="F23" s="302">
        <v>24142740</v>
      </c>
      <c r="G23" s="302">
        <v>21268676</v>
      </c>
      <c r="H23" s="536"/>
      <c r="J23" s="641"/>
      <c r="M23" s="127"/>
    </row>
    <row r="24" spans="1:13" x14ac:dyDescent="0.2">
      <c r="A24" s="517"/>
      <c r="B24" s="518"/>
      <c r="C24" s="518"/>
      <c r="D24" s="525"/>
      <c r="E24" s="299" t="s">
        <v>157</v>
      </c>
      <c r="F24" s="302">
        <v>57843002</v>
      </c>
      <c r="G24" s="302">
        <v>43070209</v>
      </c>
      <c r="H24" s="536">
        <f>25767702-10000000</f>
        <v>15767702</v>
      </c>
      <c r="J24" s="641"/>
    </row>
    <row r="25" spans="1:13" x14ac:dyDescent="0.2">
      <c r="A25" s="517" t="s">
        <v>413</v>
      </c>
      <c r="B25" s="289"/>
      <c r="C25" s="289"/>
      <c r="D25" s="295">
        <v>5000000</v>
      </c>
      <c r="E25" s="298" t="s">
        <v>179</v>
      </c>
      <c r="F25" s="302">
        <v>3046456</v>
      </c>
      <c r="G25" s="302">
        <v>53524882</v>
      </c>
      <c r="H25" s="536">
        <v>21112694</v>
      </c>
      <c r="J25" s="641"/>
    </row>
    <row r="26" spans="1:13" x14ac:dyDescent="0.2">
      <c r="A26" s="293" t="s">
        <v>204</v>
      </c>
      <c r="B26" s="289">
        <v>80340781</v>
      </c>
      <c r="C26" s="289">
        <v>843418159</v>
      </c>
      <c r="D26" s="295">
        <v>1433335193</v>
      </c>
      <c r="E26" s="298" t="s">
        <v>167</v>
      </c>
      <c r="F26" s="302">
        <v>0</v>
      </c>
      <c r="G26" s="302">
        <v>0</v>
      </c>
      <c r="H26" s="536"/>
      <c r="J26" s="641"/>
    </row>
    <row r="27" spans="1:13" ht="25.5" x14ac:dyDescent="0.2">
      <c r="A27" s="293" t="s">
        <v>205</v>
      </c>
      <c r="B27" s="289">
        <v>58899410</v>
      </c>
      <c r="C27" s="289">
        <v>39441130</v>
      </c>
      <c r="D27" s="295">
        <v>17903476</v>
      </c>
      <c r="E27" s="299" t="s">
        <v>249</v>
      </c>
      <c r="F27" s="666">
        <v>61926154</v>
      </c>
      <c r="G27" s="666">
        <v>574875009</v>
      </c>
      <c r="H27" s="693">
        <f>SUM(H28:H29)</f>
        <v>108617877</v>
      </c>
      <c r="J27" s="641"/>
    </row>
    <row r="28" spans="1:13" ht="15" customHeight="1" x14ac:dyDescent="0.2">
      <c r="A28" s="293" t="s">
        <v>206</v>
      </c>
      <c r="B28" s="289">
        <v>1500000</v>
      </c>
      <c r="C28" s="289">
        <v>1207165</v>
      </c>
      <c r="D28" s="295"/>
      <c r="E28" s="298" t="s">
        <v>424</v>
      </c>
      <c r="F28" s="666">
        <v>0</v>
      </c>
      <c r="G28" s="666">
        <v>48633958</v>
      </c>
      <c r="H28" s="536">
        <v>56729897</v>
      </c>
      <c r="J28" s="641"/>
    </row>
    <row r="29" spans="1:13" ht="15" customHeight="1" thickBot="1" x14ac:dyDescent="0.25">
      <c r="A29" s="516" t="s">
        <v>214</v>
      </c>
      <c r="B29" s="289">
        <v>155780666</v>
      </c>
      <c r="C29" s="289">
        <v>10449365</v>
      </c>
      <c r="D29" s="295">
        <v>15274965</v>
      </c>
      <c r="E29" s="522" t="s">
        <v>397</v>
      </c>
      <c r="F29" s="667">
        <v>61926154</v>
      </c>
      <c r="G29" s="667">
        <v>526241051</v>
      </c>
      <c r="H29" s="523">
        <v>51887980</v>
      </c>
      <c r="J29" s="641"/>
    </row>
    <row r="30" spans="1:13" ht="13.5" thickBot="1" x14ac:dyDescent="0.25">
      <c r="A30" s="524" t="s">
        <v>38</v>
      </c>
      <c r="B30" s="520">
        <f>SUM(B20:B29)</f>
        <v>296520857</v>
      </c>
      <c r="C30" s="520">
        <f>SUM(C20:C29)</f>
        <v>894515819</v>
      </c>
      <c r="D30" s="521">
        <f>SUM(D20:D29)</f>
        <v>1471513634</v>
      </c>
      <c r="E30" s="519" t="s">
        <v>39</v>
      </c>
      <c r="F30" s="520">
        <f>SUM(F21:F27)</f>
        <v>297881122</v>
      </c>
      <c r="G30" s="520">
        <f>SUM(G21:G27)</f>
        <v>1391028470</v>
      </c>
      <c r="H30" s="521">
        <f>H21+H22+H23+H24+H25+H26+H27</f>
        <v>1471513634</v>
      </c>
      <c r="J30" s="641"/>
    </row>
    <row r="31" spans="1:13" ht="27" customHeight="1" x14ac:dyDescent="0.35">
      <c r="A31" s="981"/>
      <c r="B31" s="982"/>
      <c r="C31" s="982"/>
      <c r="D31" s="982"/>
      <c r="E31" s="982"/>
      <c r="F31" s="982"/>
      <c r="G31" s="982"/>
      <c r="H31" s="983"/>
      <c r="J31" s="641"/>
    </row>
    <row r="32" spans="1:13" ht="13.5" thickBot="1" x14ac:dyDescent="0.25">
      <c r="A32" s="14" t="s">
        <v>40</v>
      </c>
      <c r="B32" s="288">
        <f>B17+B30</f>
        <v>665719738</v>
      </c>
      <c r="C32" s="288">
        <f>C17+C30</f>
        <v>1705953257</v>
      </c>
      <c r="D32" s="288">
        <f>D17+D30</f>
        <v>2293178294</v>
      </c>
      <c r="E32" s="15" t="s">
        <v>40</v>
      </c>
      <c r="F32" s="288">
        <f>F17+F30</f>
        <v>1378802500</v>
      </c>
      <c r="G32" s="288">
        <f>G17+G30</f>
        <v>2817268262</v>
      </c>
      <c r="H32" s="288">
        <f>H17+H30</f>
        <v>2293178294</v>
      </c>
      <c r="J32" s="641"/>
    </row>
    <row r="33" spans="3:8" x14ac:dyDescent="0.2">
      <c r="G33" s="706"/>
      <c r="H33" s="125"/>
    </row>
    <row r="34" spans="3:8" x14ac:dyDescent="0.2">
      <c r="C34" s="7"/>
      <c r="D34" s="7"/>
      <c r="F34" s="125"/>
      <c r="G34" s="125"/>
      <c r="H34" s="7"/>
    </row>
    <row r="35" spans="3:8" x14ac:dyDescent="0.2">
      <c r="C35" s="843"/>
      <c r="D35" s="125"/>
      <c r="E35" s="843"/>
      <c r="G35" s="706"/>
    </row>
    <row r="36" spans="3:8" x14ac:dyDescent="0.2">
      <c r="D36" s="125"/>
      <c r="F36" s="843"/>
    </row>
    <row r="37" spans="3:8" x14ac:dyDescent="0.2">
      <c r="D37" s="125"/>
    </row>
    <row r="38" spans="3:8" x14ac:dyDescent="0.2">
      <c r="D38" s="125"/>
    </row>
  </sheetData>
  <mergeCells count="12">
    <mergeCell ref="G6:G8"/>
    <mergeCell ref="H6:H8"/>
    <mergeCell ref="A2:H3"/>
    <mergeCell ref="G5:H5"/>
    <mergeCell ref="A31:H31"/>
    <mergeCell ref="A18:H19"/>
    <mergeCell ref="B6:B8"/>
    <mergeCell ref="A6:A8"/>
    <mergeCell ref="E6:E8"/>
    <mergeCell ref="C6:C8"/>
    <mergeCell ref="D6:D8"/>
    <mergeCell ref="F6:F8"/>
  </mergeCells>
  <phoneticPr fontId="4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&amp;R10. sz. melléklet
.../2020.(...) Egyek Önk.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S25"/>
  <sheetViews>
    <sheetView zoomScaleNormal="100" workbookViewId="0">
      <selection activeCell="O25" sqref="O25"/>
    </sheetView>
  </sheetViews>
  <sheetFormatPr defaultRowHeight="12.75" x14ac:dyDescent="0.2"/>
  <cols>
    <col min="8" max="8" width="20" customWidth="1"/>
  </cols>
  <sheetData>
    <row r="1" spans="1:19" ht="20.25" x14ac:dyDescent="0.3">
      <c r="A1" s="996" t="s">
        <v>105</v>
      </c>
      <c r="B1" s="996"/>
      <c r="C1" s="996"/>
      <c r="D1" s="996"/>
      <c r="E1" s="996"/>
      <c r="F1" s="996"/>
      <c r="G1" s="996"/>
      <c r="H1" s="996"/>
      <c r="I1" s="996"/>
      <c r="L1" s="100"/>
      <c r="M1" s="2"/>
      <c r="N1" s="2"/>
      <c r="O1" s="2"/>
      <c r="P1" s="2"/>
      <c r="Q1" s="2"/>
      <c r="R1" s="2"/>
      <c r="S1" s="100"/>
    </row>
    <row r="2" spans="1:19" ht="15.75" x14ac:dyDescent="0.25">
      <c r="A2" s="98"/>
      <c r="B2" s="98"/>
      <c r="C2" s="98"/>
      <c r="D2" s="98"/>
      <c r="E2" s="98"/>
      <c r="F2" s="98"/>
      <c r="G2" s="98"/>
      <c r="H2" s="98"/>
      <c r="I2" s="98"/>
      <c r="L2" s="100"/>
      <c r="M2" s="2"/>
      <c r="N2" s="2"/>
      <c r="O2" s="994"/>
      <c r="P2" s="994"/>
      <c r="Q2" s="994"/>
      <c r="R2" s="994"/>
      <c r="S2" s="101"/>
    </row>
    <row r="3" spans="1:19" ht="15.75" x14ac:dyDescent="0.25">
      <c r="E3" s="948"/>
      <c r="F3" s="948"/>
      <c r="L3" s="241"/>
      <c r="M3" s="239"/>
      <c r="N3" s="239"/>
      <c r="O3" s="995"/>
      <c r="P3" s="995"/>
      <c r="Q3" s="995"/>
      <c r="R3" s="995"/>
      <c r="S3" s="238"/>
    </row>
    <row r="4" spans="1:19" ht="15.75" x14ac:dyDescent="0.25">
      <c r="A4" s="948" t="s">
        <v>536</v>
      </c>
      <c r="B4" s="948"/>
      <c r="C4" s="948"/>
      <c r="D4" s="948"/>
      <c r="E4" s="948"/>
      <c r="F4" s="948"/>
      <c r="G4" s="948"/>
      <c r="H4" s="948"/>
      <c r="I4" s="948"/>
    </row>
    <row r="5" spans="1:19" ht="15.75" x14ac:dyDescent="0.25">
      <c r="A5" s="948" t="s">
        <v>106</v>
      </c>
      <c r="B5" s="948"/>
      <c r="C5" s="948"/>
      <c r="D5" s="948"/>
      <c r="E5" s="948"/>
      <c r="F5" s="948"/>
      <c r="G5" s="948"/>
      <c r="H5" s="948"/>
      <c r="I5" s="948"/>
    </row>
    <row r="11" spans="1:19" x14ac:dyDescent="0.2">
      <c r="H11" s="258" t="s">
        <v>405</v>
      </c>
    </row>
    <row r="12" spans="1:19" x14ac:dyDescent="0.2">
      <c r="A12" s="99"/>
      <c r="B12" s="99"/>
      <c r="C12" s="101"/>
      <c r="D12" s="158"/>
      <c r="E12" s="158"/>
      <c r="F12" s="158"/>
      <c r="G12" s="158"/>
      <c r="H12" s="99"/>
      <c r="I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19" ht="15.75" x14ac:dyDescent="0.25">
      <c r="A14" s="100" t="s">
        <v>408</v>
      </c>
      <c r="B14" s="2"/>
      <c r="C14" s="2"/>
      <c r="D14" s="2"/>
      <c r="E14" s="2"/>
      <c r="F14" s="2"/>
      <c r="G14" s="2"/>
      <c r="H14" s="100">
        <f>H16</f>
        <v>10000000</v>
      </c>
      <c r="I14" s="2"/>
    </row>
    <row r="15" spans="1:19" ht="19.5" customHeight="1" x14ac:dyDescent="0.25">
      <c r="A15" s="100"/>
      <c r="B15" s="2"/>
      <c r="C15" s="2"/>
      <c r="D15" s="994"/>
      <c r="E15" s="994"/>
      <c r="F15" s="994"/>
      <c r="G15" s="994"/>
      <c r="H15" s="101"/>
      <c r="I15" s="2"/>
    </row>
    <row r="16" spans="1:19" s="240" customFormat="1" ht="27" customHeight="1" x14ac:dyDescent="0.2">
      <c r="A16" s="241"/>
      <c r="B16" s="239"/>
      <c r="C16" s="239"/>
      <c r="D16" s="995" t="s">
        <v>432</v>
      </c>
      <c r="E16" s="995"/>
      <c r="F16" s="995"/>
      <c r="G16" s="995"/>
      <c r="H16" s="238">
        <v>10000000</v>
      </c>
      <c r="I16" s="239"/>
      <c r="R16"/>
    </row>
    <row r="17" spans="1:18" s="240" customFormat="1" ht="27" customHeight="1" x14ac:dyDescent="0.2">
      <c r="A17" s="241"/>
      <c r="B17" s="239"/>
      <c r="C17" s="239"/>
      <c r="D17" s="634"/>
      <c r="E17" s="634"/>
      <c r="F17" s="634"/>
      <c r="G17" s="634"/>
      <c r="H17" s="238"/>
      <c r="I17" s="239"/>
    </row>
    <row r="18" spans="1:18" s="240" customFormat="1" ht="27" customHeight="1" x14ac:dyDescent="0.25">
      <c r="A18" s="100" t="s">
        <v>407</v>
      </c>
      <c r="B18" s="2"/>
      <c r="C18" s="2"/>
      <c r="D18" s="2"/>
      <c r="E18" s="2"/>
      <c r="F18" s="2"/>
      <c r="G18" s="2"/>
      <c r="H18" s="100">
        <f>SUM(H20:H20)</f>
        <v>5000000</v>
      </c>
      <c r="I18" s="239"/>
    </row>
    <row r="19" spans="1:18" ht="15.75" customHeight="1" x14ac:dyDescent="0.25">
      <c r="A19" s="100"/>
      <c r="B19" s="2"/>
      <c r="C19" s="2"/>
      <c r="D19" s="994"/>
      <c r="E19" s="994"/>
      <c r="F19" s="994"/>
      <c r="G19" s="994"/>
      <c r="H19" s="101"/>
      <c r="I19" s="2"/>
      <c r="R19" s="240"/>
    </row>
    <row r="20" spans="1:18" ht="30" customHeight="1" x14ac:dyDescent="0.2">
      <c r="A20" s="241"/>
      <c r="B20" s="239"/>
      <c r="C20" s="239"/>
      <c r="D20" s="995" t="s">
        <v>535</v>
      </c>
      <c r="E20" s="995"/>
      <c r="F20" s="995"/>
      <c r="G20" s="995"/>
      <c r="H20" s="238">
        <v>5000000</v>
      </c>
      <c r="I20" s="2"/>
    </row>
    <row r="21" spans="1:18" ht="32.25" customHeight="1" x14ac:dyDescent="0.3">
      <c r="A21" s="993" t="s">
        <v>107</v>
      </c>
      <c r="B21" s="993"/>
      <c r="C21" s="993"/>
      <c r="D21" s="993"/>
      <c r="E21" s="102"/>
      <c r="F21" s="102"/>
      <c r="G21" s="102"/>
      <c r="H21" s="102">
        <f>H14+H18</f>
        <v>15000000</v>
      </c>
      <c r="I21" s="2"/>
    </row>
    <row r="22" spans="1:18" ht="15.75" customHeight="1" x14ac:dyDescent="0.2">
      <c r="A22" s="241"/>
      <c r="B22" s="239"/>
      <c r="C22" s="239"/>
      <c r="I22" s="2"/>
    </row>
    <row r="23" spans="1:18" ht="36.75" customHeight="1" x14ac:dyDescent="0.2">
      <c r="A23" s="241"/>
      <c r="B23" s="239"/>
      <c r="C23" s="239"/>
      <c r="I23" s="2"/>
    </row>
    <row r="24" spans="1:18" ht="22.5" customHeight="1" x14ac:dyDescent="0.25">
      <c r="A24" s="100"/>
      <c r="B24" s="2"/>
      <c r="C24" s="2"/>
      <c r="I24" s="2"/>
    </row>
    <row r="25" spans="1:18" ht="39.75" customHeight="1" x14ac:dyDescent="0.2">
      <c r="I25" s="2"/>
    </row>
  </sheetData>
  <mergeCells count="11">
    <mergeCell ref="O2:R2"/>
    <mergeCell ref="O3:R3"/>
    <mergeCell ref="A1:I1"/>
    <mergeCell ref="A4:I4"/>
    <mergeCell ref="A5:I5"/>
    <mergeCell ref="A21:D21"/>
    <mergeCell ref="D15:G15"/>
    <mergeCell ref="D16:G16"/>
    <mergeCell ref="E3:F3"/>
    <mergeCell ref="D19:G19"/>
    <mergeCell ref="D20:G20"/>
  </mergeCells>
  <phoneticPr fontId="39" type="noConversion"/>
  <pageMargins left="0.75" right="0.75" top="1" bottom="1" header="0.5" footer="0.5"/>
  <pageSetup paperSize="9" scale="98" orientation="portrait" r:id="rId1"/>
  <headerFooter alignWithMargins="0">
    <oddHeader>&amp;R11. sz. melléklet
..../2020.(......) Egyek Önk.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7"/>
  <dimension ref="A1:N18"/>
  <sheetViews>
    <sheetView topLeftCell="A4" zoomScaleNormal="100" workbookViewId="0">
      <selection activeCell="M10" sqref="M10"/>
    </sheetView>
  </sheetViews>
  <sheetFormatPr defaultRowHeight="12.75" x14ac:dyDescent="0.2"/>
  <cols>
    <col min="4" max="4" width="23.5703125" customWidth="1"/>
    <col min="6" max="6" width="15.28515625" customWidth="1"/>
    <col min="8" max="8" width="11" customWidth="1"/>
    <col min="10" max="10" width="18.28515625" customWidth="1"/>
  </cols>
  <sheetData>
    <row r="1" spans="1:14" ht="38.25" customHeight="1" x14ac:dyDescent="0.2">
      <c r="A1" s="1013" t="s">
        <v>538</v>
      </c>
      <c r="B1" s="1013"/>
      <c r="C1" s="1013"/>
      <c r="D1" s="1013"/>
      <c r="E1" s="1013"/>
      <c r="F1" s="1013"/>
      <c r="G1" s="1013"/>
      <c r="H1" s="1013"/>
      <c r="I1" s="1013"/>
      <c r="J1" s="1013"/>
    </row>
    <row r="2" spans="1:14" ht="15.75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4"/>
    </row>
    <row r="3" spans="1:14" ht="15" x14ac:dyDescent="0.2">
      <c r="A3" s="104"/>
      <c r="B3" s="104"/>
      <c r="C3" s="104"/>
      <c r="D3" s="104"/>
      <c r="E3" s="104"/>
      <c r="F3" s="104"/>
      <c r="G3" s="104"/>
      <c r="H3" s="104"/>
      <c r="I3" s="104"/>
      <c r="J3" s="104"/>
    </row>
    <row r="4" spans="1:14" ht="15.75" thickBot="1" x14ac:dyDescent="0.25">
      <c r="A4" s="104"/>
      <c r="B4" s="104"/>
      <c r="C4" s="104"/>
      <c r="D4" s="104"/>
      <c r="E4" s="104"/>
      <c r="F4" s="104"/>
      <c r="G4" s="1018" t="s">
        <v>104</v>
      </c>
      <c r="H4" s="1018"/>
      <c r="I4" s="1018"/>
      <c r="J4" s="1018"/>
    </row>
    <row r="5" spans="1:14" ht="16.5" thickBot="1" x14ac:dyDescent="0.3">
      <c r="A5" s="1021" t="s">
        <v>16</v>
      </c>
      <c r="B5" s="1022"/>
      <c r="C5" s="1022"/>
      <c r="D5" s="1023"/>
      <c r="E5" s="1027" t="s">
        <v>54</v>
      </c>
      <c r="F5" s="1028"/>
      <c r="G5" s="1028"/>
      <c r="H5" s="1028"/>
      <c r="I5" s="1028"/>
      <c r="J5" s="1029"/>
    </row>
    <row r="6" spans="1:14" ht="16.5" thickBot="1" x14ac:dyDescent="0.3">
      <c r="A6" s="1024"/>
      <c r="B6" s="1025"/>
      <c r="C6" s="1025"/>
      <c r="D6" s="1026"/>
      <c r="E6" s="1014" t="s">
        <v>108</v>
      </c>
      <c r="F6" s="1015"/>
      <c r="G6" s="1019" t="s">
        <v>109</v>
      </c>
      <c r="H6" s="1020"/>
      <c r="I6" s="1016" t="s">
        <v>539</v>
      </c>
      <c r="J6" s="1017"/>
    </row>
    <row r="7" spans="1:14" ht="37.5" customHeight="1" thickBot="1" x14ac:dyDescent="0.25">
      <c r="A7" s="1000" t="s">
        <v>526</v>
      </c>
      <c r="B7" s="1001"/>
      <c r="C7" s="1001"/>
      <c r="D7" s="1002"/>
      <c r="E7" s="997">
        <v>19203235</v>
      </c>
      <c r="F7" s="998"/>
      <c r="G7" s="997">
        <f>17789009+4803033</f>
        <v>22592042</v>
      </c>
      <c r="H7" s="998"/>
      <c r="I7" s="997">
        <f>G7-E7</f>
        <v>3388807</v>
      </c>
      <c r="J7" s="998"/>
      <c r="M7" s="858"/>
      <c r="N7" s="388"/>
    </row>
    <row r="8" spans="1:14" ht="37.5" customHeight="1" thickBot="1" x14ac:dyDescent="0.25">
      <c r="A8" s="1000" t="s">
        <v>540</v>
      </c>
      <c r="B8" s="1001"/>
      <c r="C8" s="1001"/>
      <c r="D8" s="1002"/>
      <c r="E8" s="997">
        <v>40680297</v>
      </c>
      <c r="F8" s="998"/>
      <c r="G8" s="997">
        <f>37352243+10085105</f>
        <v>47437348</v>
      </c>
      <c r="H8" s="998"/>
      <c r="I8" s="997">
        <f t="shared" ref="I8:I15" si="0">G8-E8</f>
        <v>6757051</v>
      </c>
      <c r="J8" s="998"/>
    </row>
    <row r="9" spans="1:14" ht="37.5" customHeight="1" thickBot="1" x14ac:dyDescent="0.25">
      <c r="A9" s="1000" t="s">
        <v>541</v>
      </c>
      <c r="B9" s="1001"/>
      <c r="C9" s="1001"/>
      <c r="D9" s="1002"/>
      <c r="E9" s="997">
        <v>9498084</v>
      </c>
      <c r="F9" s="998"/>
      <c r="G9" s="997">
        <f>12931192+3491422</f>
        <v>16422614</v>
      </c>
      <c r="H9" s="998"/>
      <c r="I9" s="997">
        <f t="shared" si="0"/>
        <v>6924530</v>
      </c>
      <c r="J9" s="998"/>
    </row>
    <row r="10" spans="1:14" ht="37.5" customHeight="1" thickBot="1" x14ac:dyDescent="0.25">
      <c r="A10" s="1000" t="s">
        <v>460</v>
      </c>
      <c r="B10" s="1001"/>
      <c r="C10" s="1001"/>
      <c r="D10" s="1002"/>
      <c r="E10" s="997">
        <f>50636924+16668781</f>
        <v>67305705</v>
      </c>
      <c r="F10" s="998"/>
      <c r="G10" s="997">
        <v>103987979</v>
      </c>
      <c r="H10" s="998"/>
      <c r="I10" s="997">
        <f t="shared" si="0"/>
        <v>36682274</v>
      </c>
      <c r="J10" s="998"/>
    </row>
    <row r="11" spans="1:14" ht="37.5" customHeight="1" thickBot="1" x14ac:dyDescent="0.25">
      <c r="A11" s="1000" t="s">
        <v>542</v>
      </c>
      <c r="B11" s="1001"/>
      <c r="C11" s="1001"/>
      <c r="D11" s="1002"/>
      <c r="E11" s="997">
        <v>9556701</v>
      </c>
      <c r="F11" s="998"/>
      <c r="G11" s="997">
        <v>11250216</v>
      </c>
      <c r="H11" s="998"/>
      <c r="I11" s="997">
        <f t="shared" si="0"/>
        <v>1693515</v>
      </c>
      <c r="J11" s="998"/>
    </row>
    <row r="12" spans="1:14" ht="46.5" customHeight="1" thickBot="1" x14ac:dyDescent="0.25">
      <c r="A12" s="1000" t="s">
        <v>377</v>
      </c>
      <c r="B12" s="1001"/>
      <c r="C12" s="1001"/>
      <c r="D12" s="1002"/>
      <c r="E12" s="997">
        <v>611300545</v>
      </c>
      <c r="F12" s="998"/>
      <c r="G12" s="997">
        <f>609790566+1509979</f>
        <v>611300545</v>
      </c>
      <c r="H12" s="998"/>
      <c r="I12" s="997">
        <f t="shared" si="0"/>
        <v>0</v>
      </c>
      <c r="J12" s="998"/>
    </row>
    <row r="13" spans="1:14" ht="46.5" customHeight="1" thickBot="1" x14ac:dyDescent="0.25">
      <c r="A13" s="1010" t="s">
        <v>433</v>
      </c>
      <c r="B13" s="1011"/>
      <c r="C13" s="1011"/>
      <c r="D13" s="1012"/>
      <c r="E13" s="997">
        <v>15919651</v>
      </c>
      <c r="F13" s="998"/>
      <c r="G13" s="997">
        <f>15917525+2126</f>
        <v>15919651</v>
      </c>
      <c r="H13" s="998"/>
      <c r="I13" s="997">
        <f t="shared" si="0"/>
        <v>0</v>
      </c>
      <c r="J13" s="998"/>
    </row>
    <row r="14" spans="1:14" ht="46.5" customHeight="1" thickBot="1" x14ac:dyDescent="0.25">
      <c r="A14" s="1010" t="s">
        <v>434</v>
      </c>
      <c r="B14" s="1011"/>
      <c r="C14" s="1011"/>
      <c r="D14" s="1012"/>
      <c r="E14" s="997">
        <v>484652668</v>
      </c>
      <c r="F14" s="998"/>
      <c r="G14" s="997">
        <f>381616274+103036394</f>
        <v>484652668</v>
      </c>
      <c r="H14" s="998"/>
      <c r="I14" s="997">
        <f t="shared" si="0"/>
        <v>0</v>
      </c>
      <c r="J14" s="998"/>
    </row>
    <row r="15" spans="1:14" ht="46.5" customHeight="1" thickBot="1" x14ac:dyDescent="0.25">
      <c r="A15" s="1010" t="s">
        <v>435</v>
      </c>
      <c r="B15" s="1011"/>
      <c r="C15" s="1011"/>
      <c r="D15" s="1012"/>
      <c r="E15" s="997">
        <f>G15-6366042</f>
        <v>34067540</v>
      </c>
      <c r="F15" s="998"/>
      <c r="G15" s="997">
        <f>39968767+464815</f>
        <v>40433582</v>
      </c>
      <c r="H15" s="998"/>
      <c r="I15" s="997">
        <f t="shared" si="0"/>
        <v>6366042</v>
      </c>
      <c r="J15" s="998"/>
    </row>
    <row r="16" spans="1:14" ht="26.25" customHeight="1" thickBot="1" x14ac:dyDescent="0.25">
      <c r="A16" s="1003" t="s">
        <v>41</v>
      </c>
      <c r="B16" s="1004"/>
      <c r="C16" s="1004"/>
      <c r="D16" s="1005"/>
      <c r="E16" s="1006">
        <f>SUM(E12:F15)</f>
        <v>1145940404</v>
      </c>
      <c r="F16" s="1007"/>
      <c r="G16" s="1006">
        <f>SUM(G12:H15)</f>
        <v>1152306446</v>
      </c>
      <c r="H16" s="1007"/>
      <c r="I16" s="1008">
        <f>SUM(I7:J15)</f>
        <v>61812219</v>
      </c>
      <c r="J16" s="1009"/>
    </row>
    <row r="17" spans="1:10" ht="35.25" customHeight="1" x14ac:dyDescent="0.2"/>
    <row r="18" spans="1:10" ht="29.25" customHeight="1" x14ac:dyDescent="0.2">
      <c r="A18" s="999"/>
      <c r="B18" s="999"/>
      <c r="C18" s="999"/>
      <c r="D18" s="999"/>
      <c r="E18" s="999"/>
      <c r="F18" s="999"/>
      <c r="G18" s="999"/>
      <c r="H18" s="999"/>
      <c r="I18" s="999"/>
      <c r="J18" s="999"/>
    </row>
  </sheetData>
  <mergeCells count="48">
    <mergeCell ref="A11:D11"/>
    <mergeCell ref="E11:F11"/>
    <mergeCell ref="G11:H11"/>
    <mergeCell ref="I11:J11"/>
    <mergeCell ref="A9:D9"/>
    <mergeCell ref="E9:F9"/>
    <mergeCell ref="G9:H9"/>
    <mergeCell ref="I9:J9"/>
    <mergeCell ref="A10:D10"/>
    <mergeCell ref="E10:F10"/>
    <mergeCell ref="G10:H10"/>
    <mergeCell ref="I10:J10"/>
    <mergeCell ref="I7:J7"/>
    <mergeCell ref="A8:D8"/>
    <mergeCell ref="E8:F8"/>
    <mergeCell ref="G8:H8"/>
    <mergeCell ref="I8:J8"/>
    <mergeCell ref="A7:D7"/>
    <mergeCell ref="E7:F7"/>
    <mergeCell ref="G7:H7"/>
    <mergeCell ref="A1:J1"/>
    <mergeCell ref="E6:F6"/>
    <mergeCell ref="I6:J6"/>
    <mergeCell ref="G4:J4"/>
    <mergeCell ref="G6:H6"/>
    <mergeCell ref="A5:D6"/>
    <mergeCell ref="E5:J5"/>
    <mergeCell ref="A18:J18"/>
    <mergeCell ref="G12:H12"/>
    <mergeCell ref="A12:D12"/>
    <mergeCell ref="E12:F12"/>
    <mergeCell ref="I12:J12"/>
    <mergeCell ref="A16:D16"/>
    <mergeCell ref="G16:H16"/>
    <mergeCell ref="I16:J16"/>
    <mergeCell ref="E16:F16"/>
    <mergeCell ref="A13:D13"/>
    <mergeCell ref="A14:D14"/>
    <mergeCell ref="A15:D15"/>
    <mergeCell ref="E13:F13"/>
    <mergeCell ref="E14:F14"/>
    <mergeCell ref="E15:F15"/>
    <mergeCell ref="G13:H13"/>
    <mergeCell ref="G14:H14"/>
    <mergeCell ref="G15:H15"/>
    <mergeCell ref="I13:J13"/>
    <mergeCell ref="I14:J14"/>
    <mergeCell ref="I15:J15"/>
  </mergeCells>
  <phoneticPr fontId="39" type="noConversion"/>
  <pageMargins left="0.75" right="0.75" top="1" bottom="1" header="0.5" footer="0.5"/>
  <pageSetup paperSize="9" scale="79" orientation="landscape" r:id="rId1"/>
  <headerFooter alignWithMargins="0">
    <oddHeader>&amp;R12. sz. melléket 
..../2020.(.....) Egyek Önk</oddHeader>
  </headerFooter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topLeftCell="A3" zoomScale="130" zoomScaleNormal="130" workbookViewId="0">
      <selection activeCell="C3" sqref="C3:F3"/>
    </sheetView>
  </sheetViews>
  <sheetFormatPr defaultRowHeight="12.75" x14ac:dyDescent="0.2"/>
  <cols>
    <col min="2" max="2" width="26.85546875" customWidth="1"/>
    <col min="3" max="3" width="16.42578125" customWidth="1"/>
    <col min="4" max="4" width="16.28515625" customWidth="1"/>
    <col min="5" max="6" width="16.7109375" customWidth="1"/>
    <col min="7" max="7" width="14" customWidth="1"/>
    <col min="8" max="9" width="11" customWidth="1"/>
    <col min="10" max="10" width="11.140625" customWidth="1"/>
    <col min="11" max="11" width="11.42578125" customWidth="1"/>
    <col min="12" max="12" width="10.7109375" customWidth="1"/>
    <col min="13" max="13" width="11.28515625" customWidth="1"/>
    <col min="14" max="14" width="12.140625" customWidth="1"/>
    <col min="15" max="15" width="12" customWidth="1"/>
    <col min="16" max="16" width="11.140625" customWidth="1"/>
  </cols>
  <sheetData>
    <row r="1" spans="1:8" s="159" customFormat="1" ht="33" customHeight="1" x14ac:dyDescent="0.25">
      <c r="A1" s="1035" t="s">
        <v>132</v>
      </c>
      <c r="B1" s="1035"/>
      <c r="C1" s="1035"/>
      <c r="D1" s="1035"/>
      <c r="E1" s="1035"/>
      <c r="F1" s="1035"/>
      <c r="G1" s="1035"/>
    </row>
    <row r="2" spans="1:8" s="159" customFormat="1" ht="15.95" customHeight="1" thickBot="1" x14ac:dyDescent="0.3">
      <c r="A2" s="229"/>
      <c r="B2" s="229"/>
      <c r="C2" s="1036"/>
      <c r="D2" s="1036"/>
      <c r="E2" s="1037" t="s">
        <v>601</v>
      </c>
      <c r="F2" s="1037"/>
      <c r="G2" s="1037"/>
      <c r="H2" s="161"/>
    </row>
    <row r="3" spans="1:8" s="159" customFormat="1" ht="63" customHeight="1" x14ac:dyDescent="0.25">
      <c r="A3" s="1038" t="s">
        <v>77</v>
      </c>
      <c r="B3" s="1040" t="s">
        <v>135</v>
      </c>
      <c r="C3" s="1042" t="s">
        <v>119</v>
      </c>
      <c r="D3" s="1043"/>
      <c r="E3" s="1043"/>
      <c r="F3" s="1044"/>
      <c r="G3" s="1045" t="s">
        <v>550</v>
      </c>
    </row>
    <row r="4" spans="1:8" s="159" customFormat="1" ht="15" x14ac:dyDescent="0.25">
      <c r="A4" s="1039"/>
      <c r="B4" s="1041"/>
      <c r="C4" s="162" t="s">
        <v>347</v>
      </c>
      <c r="D4" s="162" t="s">
        <v>401</v>
      </c>
      <c r="E4" s="162" t="s">
        <v>426</v>
      </c>
      <c r="F4" s="162" t="s">
        <v>462</v>
      </c>
      <c r="G4" s="1046"/>
    </row>
    <row r="5" spans="1:8" s="159" customFormat="1" ht="15" x14ac:dyDescent="0.25">
      <c r="A5" s="832">
        <v>1</v>
      </c>
      <c r="B5" s="832">
        <v>2</v>
      </c>
      <c r="C5" s="832">
        <v>4</v>
      </c>
      <c r="D5" s="832">
        <v>5</v>
      </c>
      <c r="E5" s="832">
        <v>6</v>
      </c>
      <c r="F5" s="832">
        <v>7</v>
      </c>
      <c r="G5" s="832">
        <v>8</v>
      </c>
    </row>
    <row r="6" spans="1:8" s="159" customFormat="1" ht="65.25" customHeight="1" thickBot="1" x14ac:dyDescent="0.3">
      <c r="A6" s="833" t="s">
        <v>18</v>
      </c>
      <c r="B6" s="646" t="s">
        <v>551</v>
      </c>
      <c r="C6" s="834">
        <v>4919000</v>
      </c>
      <c r="D6" s="834">
        <v>7405704</v>
      </c>
      <c r="E6" s="834">
        <v>7183198</v>
      </c>
      <c r="F6" s="835">
        <v>6965404</v>
      </c>
      <c r="G6" s="836">
        <f>SUM(C6:F6)</f>
        <v>26473306</v>
      </c>
    </row>
    <row r="7" spans="1:8" s="159" customFormat="1" ht="65.25" customHeight="1" thickBot="1" x14ac:dyDescent="0.3">
      <c r="A7" s="833" t="s">
        <v>22</v>
      </c>
      <c r="B7" s="456" t="s">
        <v>330</v>
      </c>
      <c r="C7" s="837">
        <v>1482911</v>
      </c>
      <c r="D7" s="837">
        <v>1143711</v>
      </c>
      <c r="E7" s="837">
        <v>1102901</v>
      </c>
      <c r="F7" s="838">
        <v>1062641</v>
      </c>
      <c r="G7" s="836">
        <f t="shared" ref="G7:G15" si="0">SUM(C7:F7)</f>
        <v>4792164</v>
      </c>
    </row>
    <row r="8" spans="1:8" s="159" customFormat="1" ht="121.5" customHeight="1" thickBot="1" x14ac:dyDescent="0.3">
      <c r="A8" s="833" t="s">
        <v>26</v>
      </c>
      <c r="B8" s="456" t="s">
        <v>336</v>
      </c>
      <c r="C8" s="837">
        <v>211202</v>
      </c>
      <c r="D8" s="848">
        <v>164584</v>
      </c>
      <c r="E8" s="837">
        <v>158770</v>
      </c>
      <c r="F8" s="838">
        <v>153039</v>
      </c>
      <c r="G8" s="836">
        <f t="shared" si="0"/>
        <v>687595</v>
      </c>
    </row>
    <row r="9" spans="1:8" s="159" customFormat="1" ht="86.25" customHeight="1" thickBot="1" x14ac:dyDescent="0.3">
      <c r="A9" s="833" t="s">
        <v>20</v>
      </c>
      <c r="B9" s="456" t="s">
        <v>329</v>
      </c>
      <c r="C9" s="837">
        <v>47578</v>
      </c>
      <c r="D9" s="837">
        <v>38633</v>
      </c>
      <c r="E9" s="837">
        <v>37320</v>
      </c>
      <c r="F9" s="838">
        <v>36029</v>
      </c>
      <c r="G9" s="836">
        <f t="shared" si="0"/>
        <v>159560</v>
      </c>
    </row>
    <row r="10" spans="1:8" s="159" customFormat="1" ht="62.25" customHeight="1" thickBot="1" x14ac:dyDescent="0.3">
      <c r="A10" s="833" t="s">
        <v>23</v>
      </c>
      <c r="B10" s="456" t="s">
        <v>328</v>
      </c>
      <c r="C10" s="837">
        <v>1529740</v>
      </c>
      <c r="D10" s="837">
        <v>1158718</v>
      </c>
      <c r="E10" s="837">
        <v>1116616</v>
      </c>
      <c r="F10" s="838">
        <v>1075080</v>
      </c>
      <c r="G10" s="836">
        <f t="shared" si="0"/>
        <v>4880154</v>
      </c>
    </row>
    <row r="11" spans="1:8" s="159" customFormat="1" ht="65.25" customHeight="1" thickBot="1" x14ac:dyDescent="0.3">
      <c r="A11" s="833" t="s">
        <v>27</v>
      </c>
      <c r="B11" s="454" t="s">
        <v>552</v>
      </c>
      <c r="C11" s="839">
        <v>1200221</v>
      </c>
      <c r="D11" s="839">
        <v>967265</v>
      </c>
      <c r="E11" s="839">
        <v>933017</v>
      </c>
      <c r="F11" s="840">
        <v>899281</v>
      </c>
      <c r="G11" s="836">
        <f t="shared" si="0"/>
        <v>3999784</v>
      </c>
    </row>
    <row r="12" spans="1:8" s="159" customFormat="1" ht="67.5" customHeight="1" thickBot="1" x14ac:dyDescent="0.3">
      <c r="A12" s="833" t="s">
        <v>21</v>
      </c>
      <c r="B12" s="455" t="s">
        <v>349</v>
      </c>
      <c r="C12" s="837">
        <v>3097898</v>
      </c>
      <c r="D12" s="837">
        <v>2355107</v>
      </c>
      <c r="E12" s="837">
        <v>2269936</v>
      </c>
      <c r="F12" s="838">
        <v>2185828</v>
      </c>
      <c r="G12" s="836">
        <f t="shared" si="0"/>
        <v>9908769</v>
      </c>
    </row>
    <row r="13" spans="1:8" s="159" customFormat="1" ht="67.5" customHeight="1" thickBot="1" x14ac:dyDescent="0.3">
      <c r="A13" s="833" t="s">
        <v>29</v>
      </c>
      <c r="B13" s="457" t="s">
        <v>351</v>
      </c>
      <c r="C13" s="841">
        <v>405828</v>
      </c>
      <c r="D13" s="841">
        <v>320122</v>
      </c>
      <c r="E13" s="841">
        <v>308850</v>
      </c>
      <c r="F13" s="842">
        <v>297749</v>
      </c>
      <c r="G13" s="836">
        <f t="shared" si="0"/>
        <v>1332549</v>
      </c>
    </row>
    <row r="14" spans="1:8" s="159" customFormat="1" ht="67.5" customHeight="1" thickBot="1" x14ac:dyDescent="0.3">
      <c r="A14" s="833" t="s">
        <v>24</v>
      </c>
      <c r="B14" s="646" t="s">
        <v>418</v>
      </c>
      <c r="C14" s="834">
        <v>1634785</v>
      </c>
      <c r="D14" s="834">
        <v>1243023</v>
      </c>
      <c r="E14" s="834">
        <v>1200711</v>
      </c>
      <c r="F14" s="835">
        <v>1159181</v>
      </c>
      <c r="G14" s="836">
        <f t="shared" si="0"/>
        <v>5237700</v>
      </c>
    </row>
    <row r="15" spans="1:8" s="159" customFormat="1" ht="54" customHeight="1" thickBot="1" x14ac:dyDescent="0.3">
      <c r="A15" s="833" t="s">
        <v>19</v>
      </c>
      <c r="B15" s="456" t="s">
        <v>350</v>
      </c>
      <c r="C15" s="837">
        <v>2263467</v>
      </c>
      <c r="D15" s="837">
        <v>1763407</v>
      </c>
      <c r="E15" s="837">
        <v>1701573</v>
      </c>
      <c r="F15" s="838">
        <v>1640714</v>
      </c>
      <c r="G15" s="836">
        <f t="shared" si="0"/>
        <v>7369161</v>
      </c>
    </row>
    <row r="16" spans="1:8" s="159" customFormat="1" ht="54" customHeight="1" thickBot="1" x14ac:dyDescent="0.3">
      <c r="A16" s="833" t="s">
        <v>25</v>
      </c>
      <c r="B16" s="456" t="s">
        <v>553</v>
      </c>
      <c r="C16" s="837">
        <v>307458</v>
      </c>
      <c r="D16" s="837">
        <v>3315890</v>
      </c>
      <c r="E16" s="837">
        <v>5115377</v>
      </c>
      <c r="F16" s="838">
        <v>4970135</v>
      </c>
      <c r="G16" s="836">
        <f t="shared" ref="G16:G18" si="1">SUM(C16:F16)</f>
        <v>13708860</v>
      </c>
    </row>
    <row r="17" spans="1:26" s="159" customFormat="1" ht="54" customHeight="1" thickBot="1" x14ac:dyDescent="0.3">
      <c r="A17" s="833" t="s">
        <v>42</v>
      </c>
      <c r="B17" s="456" t="s">
        <v>590</v>
      </c>
      <c r="C17" s="837"/>
      <c r="D17" s="837"/>
      <c r="E17" s="837">
        <v>921700</v>
      </c>
      <c r="F17" s="838">
        <v>897660</v>
      </c>
      <c r="G17" s="836">
        <f t="shared" si="1"/>
        <v>1819360</v>
      </c>
    </row>
    <row r="18" spans="1:26" s="159" customFormat="1" ht="75.75" customHeight="1" thickBot="1" x14ac:dyDescent="0.3">
      <c r="A18" s="833" t="s">
        <v>32</v>
      </c>
      <c r="B18" s="456" t="s">
        <v>591</v>
      </c>
      <c r="C18" s="837"/>
      <c r="D18" s="837"/>
      <c r="E18" s="837">
        <v>945252</v>
      </c>
      <c r="F18" s="838">
        <v>920000</v>
      </c>
      <c r="G18" s="836">
        <f t="shared" si="1"/>
        <v>1865252</v>
      </c>
    </row>
    <row r="19" spans="1:26" s="159" customFormat="1" ht="15.75" thickBot="1" x14ac:dyDescent="0.3">
      <c r="A19" s="458"/>
      <c r="B19" s="459" t="s">
        <v>120</v>
      </c>
      <c r="C19" s="460">
        <f>SUM(C6:C18)</f>
        <v>17100088</v>
      </c>
      <c r="D19" s="460">
        <f>SUM(D6:D18)</f>
        <v>19876164</v>
      </c>
      <c r="E19" s="460">
        <f t="shared" ref="E19:G19" si="2">SUM(E6:E18)</f>
        <v>22995221</v>
      </c>
      <c r="F19" s="460">
        <f t="shared" si="2"/>
        <v>22262741</v>
      </c>
      <c r="G19" s="460">
        <f t="shared" si="2"/>
        <v>82234214</v>
      </c>
    </row>
    <row r="20" spans="1:26" s="159" customFormat="1" ht="30.75" customHeight="1" x14ac:dyDescent="0.25">
      <c r="A20" s="1047" t="s">
        <v>547</v>
      </c>
      <c r="B20" s="1047"/>
      <c r="C20" s="1047"/>
      <c r="D20" s="1047"/>
      <c r="E20" s="1047"/>
      <c r="F20" s="1047"/>
      <c r="G20" s="1047"/>
      <c r="H20" s="1047"/>
      <c r="I20" s="1047"/>
      <c r="J20" s="1047"/>
      <c r="K20" s="1047"/>
      <c r="L20" s="1047"/>
      <c r="M20" s="1047"/>
      <c r="N20" s="1047"/>
      <c r="O20" s="1047"/>
      <c r="P20" s="1047"/>
    </row>
    <row r="21" spans="1:26" s="159" customFormat="1" ht="15.75" thickBot="1" x14ac:dyDescent="0.3">
      <c r="A21" s="160"/>
      <c r="B21" s="160"/>
      <c r="O21" s="163" t="s">
        <v>118</v>
      </c>
    </row>
    <row r="22" spans="1:26" s="159" customFormat="1" ht="63.75" thickBot="1" x14ac:dyDescent="0.3">
      <c r="A22" s="633" t="s">
        <v>77</v>
      </c>
      <c r="B22" s="1048" t="s">
        <v>130</v>
      </c>
      <c r="C22" s="1049"/>
      <c r="D22" s="1050"/>
      <c r="E22" s="695" t="s">
        <v>337</v>
      </c>
      <c r="F22" s="696" t="s">
        <v>337</v>
      </c>
      <c r="G22" s="696" t="s">
        <v>338</v>
      </c>
      <c r="H22" s="696" t="s">
        <v>339</v>
      </c>
      <c r="I22" s="696" t="s">
        <v>340</v>
      </c>
      <c r="J22" s="696" t="s">
        <v>341</v>
      </c>
      <c r="K22" s="696" t="s">
        <v>342</v>
      </c>
      <c r="L22" s="696" t="s">
        <v>348</v>
      </c>
      <c r="M22" s="696" t="s">
        <v>402</v>
      </c>
      <c r="N22" s="696" t="s">
        <v>427</v>
      </c>
      <c r="O22" s="695" t="s">
        <v>554</v>
      </c>
      <c r="P22" s="430"/>
      <c r="Q22" s="430"/>
      <c r="R22" s="430"/>
      <c r="S22" s="430"/>
      <c r="T22" s="430"/>
      <c r="U22" s="430"/>
      <c r="V22" s="430"/>
      <c r="W22" s="430"/>
      <c r="X22" s="430"/>
      <c r="Y22" s="430"/>
      <c r="Z22" s="431"/>
    </row>
    <row r="23" spans="1:26" s="159" customFormat="1" ht="16.5" thickBot="1" x14ac:dyDescent="0.3">
      <c r="A23" s="831" t="s">
        <v>18</v>
      </c>
      <c r="B23" s="1032" t="s">
        <v>540</v>
      </c>
      <c r="C23" s="1033"/>
      <c r="D23" s="1034"/>
      <c r="E23" s="699">
        <v>6757051</v>
      </c>
      <c r="F23" s="830"/>
      <c r="G23" s="696"/>
      <c r="H23" s="830"/>
      <c r="I23" s="696"/>
      <c r="J23" s="830"/>
      <c r="K23" s="696"/>
      <c r="L23" s="829"/>
      <c r="M23" s="830"/>
      <c r="N23" s="829"/>
      <c r="O23" s="695"/>
      <c r="P23" s="430"/>
      <c r="Q23" s="430"/>
      <c r="R23" s="430"/>
      <c r="S23" s="430"/>
      <c r="T23" s="430"/>
      <c r="U23" s="430"/>
      <c r="V23" s="430"/>
      <c r="W23" s="430"/>
      <c r="X23" s="430"/>
      <c r="Y23" s="430"/>
      <c r="Z23" s="431"/>
    </row>
    <row r="24" spans="1:26" s="159" customFormat="1" ht="18.75" customHeight="1" thickBot="1" x14ac:dyDescent="0.3">
      <c r="A24" s="694" t="s">
        <v>22</v>
      </c>
      <c r="B24" s="1032" t="s">
        <v>527</v>
      </c>
      <c r="C24" s="1033"/>
      <c r="D24" s="1034"/>
      <c r="E24" s="699">
        <v>6924530</v>
      </c>
      <c r="F24" s="700"/>
      <c r="G24" s="537"/>
      <c r="H24" s="700"/>
      <c r="I24" s="538"/>
      <c r="J24" s="701"/>
      <c r="K24" s="538"/>
      <c r="L24" s="701"/>
      <c r="M24" s="538"/>
      <c r="N24" s="701"/>
      <c r="O24" s="538"/>
    </row>
    <row r="25" spans="1:26" s="159" customFormat="1" ht="15.75" customHeight="1" thickBot="1" x14ac:dyDescent="0.3">
      <c r="A25" s="844" t="s">
        <v>26</v>
      </c>
      <c r="B25" s="1051" t="s">
        <v>134</v>
      </c>
      <c r="C25" s="1051"/>
      <c r="D25" s="1052"/>
      <c r="E25" s="697">
        <f>SUM(E23:E24)</f>
        <v>13681581</v>
      </c>
      <c r="F25" s="697">
        <f t="shared" ref="F25:O25" si="3">SUM(F24:F24)</f>
        <v>0</v>
      </c>
      <c r="G25" s="697">
        <f t="shared" si="3"/>
        <v>0</v>
      </c>
      <c r="H25" s="697">
        <f t="shared" si="3"/>
        <v>0</v>
      </c>
      <c r="I25" s="698">
        <f t="shared" si="3"/>
        <v>0</v>
      </c>
      <c r="J25" s="698">
        <f t="shared" si="3"/>
        <v>0</v>
      </c>
      <c r="K25" s="698">
        <f t="shared" si="3"/>
        <v>0</v>
      </c>
      <c r="L25" s="698">
        <f t="shared" si="3"/>
        <v>0</v>
      </c>
      <c r="M25" s="698">
        <f t="shared" si="3"/>
        <v>0</v>
      </c>
      <c r="N25" s="698">
        <f t="shared" si="3"/>
        <v>0</v>
      </c>
      <c r="O25" s="698">
        <f t="shared" si="3"/>
        <v>0</v>
      </c>
    </row>
    <row r="26" spans="1:26" s="159" customFormat="1" ht="33" customHeight="1" thickBot="1" x14ac:dyDescent="0.3">
      <c r="A26" s="844" t="s">
        <v>20</v>
      </c>
      <c r="B26" s="1053" t="s">
        <v>548</v>
      </c>
      <c r="C26" s="1053"/>
      <c r="D26" s="1054"/>
      <c r="E26" s="539">
        <v>15274965</v>
      </c>
      <c r="F26" s="548"/>
      <c r="G26" s="548"/>
      <c r="H26" s="548"/>
      <c r="I26" s="540"/>
      <c r="J26" s="541"/>
      <c r="K26" s="542"/>
      <c r="L26" s="541"/>
      <c r="M26" s="542"/>
      <c r="N26" s="541"/>
      <c r="O26" s="543"/>
    </row>
    <row r="27" spans="1:26" s="159" customFormat="1" ht="15.75" customHeight="1" thickBot="1" x14ac:dyDescent="0.3">
      <c r="A27" s="844" t="s">
        <v>23</v>
      </c>
      <c r="B27" s="1030" t="s">
        <v>549</v>
      </c>
      <c r="C27" s="1030"/>
      <c r="D27" s="1031"/>
      <c r="E27" s="544">
        <f>SUM(E25:E26)</f>
        <v>28956546</v>
      </c>
      <c r="F27" s="545">
        <f t="shared" ref="F27:O27" si="4">SUM(F25:F26)</f>
        <v>0</v>
      </c>
      <c r="G27" s="544">
        <f t="shared" si="4"/>
        <v>0</v>
      </c>
      <c r="H27" s="545">
        <f t="shared" si="4"/>
        <v>0</v>
      </c>
      <c r="I27" s="546">
        <f t="shared" si="4"/>
        <v>0</v>
      </c>
      <c r="J27" s="547">
        <f t="shared" si="4"/>
        <v>0</v>
      </c>
      <c r="K27" s="546">
        <f t="shared" si="4"/>
        <v>0</v>
      </c>
      <c r="L27" s="547">
        <f t="shared" si="4"/>
        <v>0</v>
      </c>
      <c r="M27" s="546">
        <f t="shared" si="4"/>
        <v>0</v>
      </c>
      <c r="N27" s="547">
        <f t="shared" si="4"/>
        <v>0</v>
      </c>
      <c r="O27" s="547">
        <f t="shared" si="4"/>
        <v>0</v>
      </c>
    </row>
  </sheetData>
  <mergeCells count="14">
    <mergeCell ref="B27:D27"/>
    <mergeCell ref="B23:D23"/>
    <mergeCell ref="A1:G1"/>
    <mergeCell ref="C2:D2"/>
    <mergeCell ref="E2:G2"/>
    <mergeCell ref="A3:A4"/>
    <mergeCell ref="B3:B4"/>
    <mergeCell ref="C3:F3"/>
    <mergeCell ref="G3:G4"/>
    <mergeCell ref="A20:P20"/>
    <mergeCell ref="B22:D22"/>
    <mergeCell ref="B24:D24"/>
    <mergeCell ref="B25:D25"/>
    <mergeCell ref="B26:D26"/>
  </mergeCells>
  <pageMargins left="0.51181102362204722" right="0.51181102362204722" top="0.74803149606299213" bottom="0.74803149606299213" header="0.31496062992125984" footer="0.31496062992125984"/>
  <pageSetup paperSize="9" scale="47" orientation="landscape" r:id="rId1"/>
  <headerFooter>
    <oddHeader>&amp;R13. sz. melléklet
...../2020.(.....) Egyek Önk.</oddHeader>
  </headerFooter>
  <rowBreaks count="1" manualBreakCount="1">
    <brk id="19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40" zoomScaleNormal="140" workbookViewId="0">
      <selection activeCell="I9" sqref="I9"/>
    </sheetView>
  </sheetViews>
  <sheetFormatPr defaultColWidth="8" defaultRowHeight="15" x14ac:dyDescent="0.25"/>
  <cols>
    <col min="1" max="1" width="4.85546875" style="159" customWidth="1"/>
    <col min="2" max="2" width="58.85546875" style="159" customWidth="1"/>
    <col min="3" max="3" width="16.7109375" style="159" customWidth="1"/>
    <col min="4" max="5" width="17.140625" style="159" customWidth="1"/>
    <col min="6" max="6" width="19" style="159" customWidth="1"/>
    <col min="7" max="16384" width="8" style="159"/>
  </cols>
  <sheetData>
    <row r="1" spans="1:9" ht="33" customHeight="1" x14ac:dyDescent="0.25">
      <c r="A1" s="1035" t="s">
        <v>133</v>
      </c>
      <c r="B1" s="1035"/>
      <c r="C1" s="1035"/>
      <c r="D1" s="1035"/>
      <c r="E1" s="1035"/>
      <c r="F1" s="1035"/>
    </row>
    <row r="2" spans="1:9" ht="15.95" customHeight="1" thickBot="1" x14ac:dyDescent="0.3">
      <c r="A2" s="160"/>
      <c r="B2" s="160"/>
      <c r="D2" s="161"/>
      <c r="F2" s="163" t="s">
        <v>600</v>
      </c>
    </row>
    <row r="3" spans="1:9" ht="26.25" customHeight="1" thickBot="1" x14ac:dyDescent="0.3">
      <c r="A3" s="164" t="s">
        <v>77</v>
      </c>
      <c r="B3" s="165" t="s">
        <v>121</v>
      </c>
      <c r="C3" s="166" t="s">
        <v>403</v>
      </c>
      <c r="D3" s="166" t="s">
        <v>428</v>
      </c>
      <c r="E3" s="166" t="s">
        <v>479</v>
      </c>
      <c r="F3" s="166" t="s">
        <v>555</v>
      </c>
    </row>
    <row r="4" spans="1:9" ht="15.75" thickBot="1" x14ac:dyDescent="0.3">
      <c r="A4" s="167">
        <v>1</v>
      </c>
      <c r="B4" s="168">
        <v>2</v>
      </c>
      <c r="C4" s="647">
        <v>3</v>
      </c>
      <c r="D4" s="648">
        <v>4</v>
      </c>
      <c r="E4" s="649">
        <v>5</v>
      </c>
      <c r="F4" s="650">
        <v>6</v>
      </c>
    </row>
    <row r="5" spans="1:9" x14ac:dyDescent="0.25">
      <c r="A5" s="169" t="s">
        <v>18</v>
      </c>
      <c r="B5" s="652" t="s">
        <v>122</v>
      </c>
      <c r="C5" s="656">
        <f>68320000+12510000</f>
        <v>80830000</v>
      </c>
      <c r="D5" s="656">
        <f>68320000+12510000</f>
        <v>80830000</v>
      </c>
      <c r="E5" s="656">
        <f>68320000+12510000</f>
        <v>80830000</v>
      </c>
      <c r="F5" s="656">
        <f>68320000+12510000</f>
        <v>80830000</v>
      </c>
    </row>
    <row r="6" spans="1:9" x14ac:dyDescent="0.25">
      <c r="A6" s="170" t="s">
        <v>22</v>
      </c>
      <c r="B6" s="653" t="s">
        <v>123</v>
      </c>
      <c r="C6" s="657"/>
      <c r="D6" s="192"/>
      <c r="E6" s="192"/>
      <c r="F6" s="192"/>
    </row>
    <row r="7" spans="1:9" x14ac:dyDescent="0.25">
      <c r="A7" s="170" t="s">
        <v>26</v>
      </c>
      <c r="B7" s="653" t="s">
        <v>124</v>
      </c>
      <c r="C7" s="657">
        <v>7059000</v>
      </c>
      <c r="D7" s="651">
        <v>7059000</v>
      </c>
      <c r="E7" s="651">
        <v>7059000</v>
      </c>
      <c r="F7" s="651">
        <v>7059000</v>
      </c>
      <c r="I7" s="196"/>
    </row>
    <row r="8" spans="1:9" ht="23.25" x14ac:dyDescent="0.25">
      <c r="A8" s="170" t="s">
        <v>20</v>
      </c>
      <c r="B8" s="654" t="s">
        <v>125</v>
      </c>
      <c r="C8" s="657">
        <v>21112694</v>
      </c>
      <c r="D8" s="192"/>
      <c r="E8" s="192"/>
      <c r="F8" s="193"/>
    </row>
    <row r="9" spans="1:9" x14ac:dyDescent="0.25">
      <c r="A9" s="171" t="s">
        <v>23</v>
      </c>
      <c r="B9" s="655" t="s">
        <v>126</v>
      </c>
      <c r="C9" s="657"/>
      <c r="D9" s="192"/>
      <c r="E9" s="192"/>
      <c r="F9" s="193"/>
    </row>
    <row r="10" spans="1:9" x14ac:dyDescent="0.25">
      <c r="A10" s="170" t="s">
        <v>27</v>
      </c>
      <c r="B10" s="653" t="s">
        <v>127</v>
      </c>
      <c r="C10" s="657"/>
      <c r="D10" s="192"/>
      <c r="E10" s="192"/>
      <c r="F10" s="193"/>
    </row>
    <row r="11" spans="1:9" ht="15.75" thickBot="1" x14ac:dyDescent="0.3">
      <c r="A11" s="171" t="s">
        <v>21</v>
      </c>
      <c r="B11" s="655" t="s">
        <v>128</v>
      </c>
      <c r="C11" s="658"/>
      <c r="D11" s="194"/>
      <c r="E11" s="194"/>
      <c r="F11" s="195"/>
    </row>
    <row r="12" spans="1:9" s="243" customFormat="1" ht="15.75" thickBot="1" x14ac:dyDescent="0.3">
      <c r="A12" s="1055" t="s">
        <v>129</v>
      </c>
      <c r="B12" s="1056"/>
      <c r="C12" s="242">
        <f>SUM(C5:C11)</f>
        <v>109001694</v>
      </c>
      <c r="D12" s="242">
        <f>SUM(D5:D11)</f>
        <v>87889000</v>
      </c>
      <c r="E12" s="242">
        <f>SUM(E5:E11)</f>
        <v>87889000</v>
      </c>
      <c r="F12" s="242">
        <f>SUM(F5:F11)</f>
        <v>87889000</v>
      </c>
    </row>
    <row r="13" spans="1:9" s="244" customFormat="1" ht="33" customHeight="1" thickBot="1" x14ac:dyDescent="0.25">
      <c r="A13" s="1057" t="s">
        <v>303</v>
      </c>
      <c r="B13" s="1058"/>
      <c r="C13" s="432">
        <f>C12*0.5</f>
        <v>54500847</v>
      </c>
      <c r="D13" s="432">
        <f>D12*0.5</f>
        <v>43944500</v>
      </c>
      <c r="E13" s="432">
        <f>E12*0.5</f>
        <v>43944500</v>
      </c>
      <c r="F13" s="432">
        <f>F12*0.5</f>
        <v>43944500</v>
      </c>
    </row>
    <row r="14" spans="1:9" s="244" customFormat="1" thickBot="1" x14ac:dyDescent="0.25">
      <c r="A14" s="1059"/>
      <c r="B14" s="1060"/>
      <c r="C14" s="245">
        <f>C13/C12</f>
        <v>0.5</v>
      </c>
      <c r="D14" s="245">
        <f>D13/D12</f>
        <v>0.5</v>
      </c>
      <c r="E14" s="245">
        <f>E13/E12</f>
        <v>0.5</v>
      </c>
      <c r="F14" s="245">
        <f>F13/F12</f>
        <v>0.5</v>
      </c>
    </row>
  </sheetData>
  <mergeCells count="4">
    <mergeCell ref="A12:B12"/>
    <mergeCell ref="A1:F1"/>
    <mergeCell ref="A13:B13"/>
    <mergeCell ref="A14:B14"/>
  </mergeCells>
  <phoneticPr fontId="32" type="noConversion"/>
  <printOptions horizontalCentered="1"/>
  <pageMargins left="0.78740157480314965" right="0.78740157480314965" top="1.3779527559055118" bottom="0.98425196850393704" header="0.78740157480314965" footer="0.78740157480314965"/>
  <pageSetup paperSize="9" scale="95" orientation="landscape" r:id="rId1"/>
  <headerFooter alignWithMargins="0">
    <oddHeader>&amp;R&amp;"Times New Roman CE,Félkövér dőlt"&amp;11 14. melléklet a ...../2020. (....)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90" zoomScaleNormal="90" workbookViewId="0">
      <selection activeCell="B11" sqref="B11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878" t="s">
        <v>492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86.25" customHeight="1" thickBot="1" x14ac:dyDescent="0.25">
      <c r="A6" s="879" t="s">
        <v>180</v>
      </c>
      <c r="B6" s="673" t="s">
        <v>159</v>
      </c>
      <c r="C6" s="800" t="s">
        <v>165</v>
      </c>
      <c r="D6" s="673" t="s">
        <v>178</v>
      </c>
      <c r="E6" s="673" t="s">
        <v>157</v>
      </c>
      <c r="F6" s="673" t="s">
        <v>179</v>
      </c>
      <c r="G6" s="673" t="s">
        <v>176</v>
      </c>
      <c r="H6" s="673" t="s">
        <v>167</v>
      </c>
      <c r="I6" s="673" t="s">
        <v>174</v>
      </c>
      <c r="J6" s="674" t="s">
        <v>30</v>
      </c>
    </row>
    <row r="7" spans="1:10" ht="25.5" customHeight="1" thickBot="1" x14ac:dyDescent="0.25">
      <c r="A7" s="880"/>
      <c r="B7" s="782" t="s">
        <v>488</v>
      </c>
      <c r="C7" s="801" t="s">
        <v>488</v>
      </c>
      <c r="D7" s="782" t="s">
        <v>488</v>
      </c>
      <c r="E7" s="782" t="s">
        <v>488</v>
      </c>
      <c r="F7" s="782" t="s">
        <v>488</v>
      </c>
      <c r="G7" s="782" t="s">
        <v>488</v>
      </c>
      <c r="H7" s="782" t="s">
        <v>488</v>
      </c>
      <c r="I7" s="782" t="s">
        <v>488</v>
      </c>
      <c r="J7" s="201" t="s">
        <v>488</v>
      </c>
    </row>
    <row r="8" spans="1:10" s="395" customFormat="1" ht="27.75" customHeight="1" thickBot="1" x14ac:dyDescent="0.25">
      <c r="A8" s="463" t="s">
        <v>368</v>
      </c>
      <c r="B8" s="787"/>
      <c r="C8" s="789"/>
      <c r="D8" s="788"/>
      <c r="E8" s="789">
        <v>3234000</v>
      </c>
      <c r="F8" s="788"/>
      <c r="G8" s="788">
        <v>17224731</v>
      </c>
      <c r="H8" s="788"/>
      <c r="I8" s="790">
        <v>280320</v>
      </c>
      <c r="J8" s="780">
        <f>SUM(B8:I8)</f>
        <v>20739051</v>
      </c>
    </row>
    <row r="9" spans="1:10" ht="13.5" thickBot="1" x14ac:dyDescent="0.25">
      <c r="A9" s="398" t="s">
        <v>189</v>
      </c>
      <c r="B9" s="791"/>
      <c r="C9" s="341">
        <v>9556702</v>
      </c>
      <c r="D9" s="424"/>
      <c r="E9" s="341">
        <v>1396000</v>
      </c>
      <c r="F9" s="424"/>
      <c r="G9" s="341"/>
      <c r="H9" s="424"/>
      <c r="I9" s="792"/>
      <c r="J9" s="780">
        <f t="shared" ref="J9:J24" si="0">SUM(B9:I9)</f>
        <v>10952702</v>
      </c>
    </row>
    <row r="10" spans="1:10" ht="27.75" customHeight="1" thickBot="1" x14ac:dyDescent="0.25">
      <c r="A10" s="397" t="s">
        <v>182</v>
      </c>
      <c r="B10" s="793"/>
      <c r="C10" s="263"/>
      <c r="D10" s="263"/>
      <c r="E10" s="263">
        <v>34896007</v>
      </c>
      <c r="F10" s="263">
        <v>21112694</v>
      </c>
      <c r="G10" s="263"/>
      <c r="H10" s="263"/>
      <c r="I10" s="794">
        <v>29209760</v>
      </c>
      <c r="J10" s="780">
        <f t="shared" si="0"/>
        <v>85218461</v>
      </c>
    </row>
    <row r="11" spans="1:10" s="113" customFormat="1" ht="15.75" customHeight="1" thickBot="1" x14ac:dyDescent="0.25">
      <c r="A11" s="396" t="s">
        <v>184</v>
      </c>
      <c r="B11" s="793">
        <v>336750171</v>
      </c>
      <c r="C11" s="263"/>
      <c r="D11" s="263"/>
      <c r="E11" s="784"/>
      <c r="F11" s="263"/>
      <c r="G11" s="784"/>
      <c r="H11" s="784"/>
      <c r="I11" s="794">
        <v>10353836</v>
      </c>
      <c r="J11" s="780">
        <f t="shared" si="0"/>
        <v>347104007</v>
      </c>
    </row>
    <row r="12" spans="1:10" s="113" customFormat="1" ht="15.75" customHeight="1" thickBot="1" x14ac:dyDescent="0.25">
      <c r="A12" s="398" t="s">
        <v>494</v>
      </c>
      <c r="B12" s="793"/>
      <c r="C12" s="263"/>
      <c r="D12" s="263"/>
      <c r="E12" s="784"/>
      <c r="F12" s="263"/>
      <c r="G12" s="784"/>
      <c r="H12" s="784"/>
      <c r="I12" s="794">
        <v>2183606</v>
      </c>
      <c r="J12" s="780">
        <f t="shared" si="0"/>
        <v>2183606</v>
      </c>
    </row>
    <row r="13" spans="1:10" ht="13.5" thickBot="1" x14ac:dyDescent="0.25">
      <c r="A13" s="398" t="s">
        <v>188</v>
      </c>
      <c r="B13" s="791"/>
      <c r="C13" s="341"/>
      <c r="D13" s="424"/>
      <c r="E13" s="341">
        <v>18103400</v>
      </c>
      <c r="F13" s="424"/>
      <c r="G13" s="424"/>
      <c r="H13" s="424"/>
      <c r="I13" s="792">
        <v>65406585</v>
      </c>
      <c r="J13" s="780">
        <f t="shared" si="0"/>
        <v>83509985</v>
      </c>
    </row>
    <row r="14" spans="1:10" ht="15.75" customHeight="1" thickBot="1" x14ac:dyDescent="0.25">
      <c r="A14" s="397" t="s">
        <v>367</v>
      </c>
      <c r="B14" s="793"/>
      <c r="C14" s="263"/>
      <c r="D14" s="263"/>
      <c r="E14" s="263">
        <v>14860000</v>
      </c>
      <c r="F14" s="263"/>
      <c r="G14" s="263"/>
      <c r="H14" s="263"/>
      <c r="I14" s="794"/>
      <c r="J14" s="780">
        <f t="shared" si="0"/>
        <v>14860000</v>
      </c>
    </row>
    <row r="15" spans="1:10" ht="13.5" thickBot="1" x14ac:dyDescent="0.25">
      <c r="A15" s="396" t="s">
        <v>306</v>
      </c>
      <c r="B15" s="793"/>
      <c r="C15" s="263">
        <v>660692457</v>
      </c>
      <c r="D15" s="263"/>
      <c r="E15" s="263"/>
      <c r="F15" s="263"/>
      <c r="G15" s="263"/>
      <c r="H15" s="263"/>
      <c r="I15" s="794">
        <v>4009439</v>
      </c>
      <c r="J15" s="780">
        <f t="shared" si="0"/>
        <v>664701896</v>
      </c>
    </row>
    <row r="16" spans="1:10" ht="13.5" thickBot="1" x14ac:dyDescent="0.25">
      <c r="A16" s="396" t="s">
        <v>446</v>
      </c>
      <c r="B16" s="793"/>
      <c r="C16" s="263">
        <v>50636924</v>
      </c>
      <c r="D16" s="263"/>
      <c r="E16" s="263"/>
      <c r="F16" s="263"/>
      <c r="G16" s="263"/>
      <c r="H16" s="263"/>
      <c r="I16" s="794">
        <v>16668781</v>
      </c>
      <c r="J16" s="780">
        <f t="shared" si="0"/>
        <v>67305705</v>
      </c>
    </row>
    <row r="17" spans="1:10" ht="18" customHeight="1" thickBot="1" x14ac:dyDescent="0.25">
      <c r="A17" s="397" t="s">
        <v>376</v>
      </c>
      <c r="B17" s="793"/>
      <c r="C17" s="263">
        <v>774434019</v>
      </c>
      <c r="D17" s="263"/>
      <c r="E17" s="263"/>
      <c r="F17" s="263"/>
      <c r="G17" s="263"/>
      <c r="H17" s="263"/>
      <c r="I17" s="794"/>
      <c r="J17" s="780">
        <f t="shared" si="0"/>
        <v>774434019</v>
      </c>
    </row>
    <row r="18" spans="1:10" ht="13.5" thickBot="1" x14ac:dyDescent="0.25">
      <c r="A18" s="396" t="s">
        <v>183</v>
      </c>
      <c r="B18" s="793"/>
      <c r="C18" s="263"/>
      <c r="D18" s="263"/>
      <c r="E18" s="263">
        <v>110000</v>
      </c>
      <c r="F18" s="263"/>
      <c r="G18" s="263"/>
      <c r="H18" s="263"/>
      <c r="I18" s="794"/>
      <c r="J18" s="780">
        <f t="shared" si="0"/>
        <v>110000</v>
      </c>
    </row>
    <row r="19" spans="1:10" ht="13.5" thickBot="1" x14ac:dyDescent="0.25">
      <c r="A19" s="398" t="s">
        <v>218</v>
      </c>
      <c r="B19" s="793"/>
      <c r="C19" s="263"/>
      <c r="D19" s="263"/>
      <c r="E19" s="263">
        <v>1540000</v>
      </c>
      <c r="F19" s="263"/>
      <c r="G19" s="263"/>
      <c r="H19" s="263"/>
      <c r="I19" s="794"/>
      <c r="J19" s="780">
        <f t="shared" si="0"/>
        <v>1540000</v>
      </c>
    </row>
    <row r="20" spans="1:10" s="94" customFormat="1" ht="13.5" thickBot="1" x14ac:dyDescent="0.25">
      <c r="A20" s="711" t="s">
        <v>194</v>
      </c>
      <c r="B20" s="795"/>
      <c r="C20" s="785"/>
      <c r="D20" s="786"/>
      <c r="E20" s="785"/>
      <c r="F20" s="786"/>
      <c r="G20" s="786"/>
      <c r="H20" s="786"/>
      <c r="I20" s="796">
        <v>2000000</v>
      </c>
      <c r="J20" s="781">
        <f t="shared" si="0"/>
        <v>2000000</v>
      </c>
    </row>
    <row r="21" spans="1:10" ht="13.5" thickBot="1" x14ac:dyDescent="0.25">
      <c r="A21" s="398" t="s">
        <v>495</v>
      </c>
      <c r="B21" s="791">
        <v>1769451</v>
      </c>
      <c r="C21" s="341"/>
      <c r="D21" s="424"/>
      <c r="E21" s="341"/>
      <c r="F21" s="424"/>
      <c r="G21" s="424"/>
      <c r="H21" s="424"/>
      <c r="I21" s="792"/>
      <c r="J21" s="780">
        <f t="shared" si="0"/>
        <v>1769451</v>
      </c>
    </row>
    <row r="22" spans="1:10" ht="30" customHeight="1" thickBot="1" x14ac:dyDescent="0.25">
      <c r="A22" s="823" t="s">
        <v>534</v>
      </c>
      <c r="B22" s="791">
        <v>29474978</v>
      </c>
      <c r="C22" s="341">
        <v>7180928</v>
      </c>
      <c r="D22" s="424"/>
      <c r="E22" s="341"/>
      <c r="F22" s="424"/>
      <c r="G22" s="341"/>
      <c r="H22" s="424"/>
      <c r="I22" s="792">
        <v>23200868</v>
      </c>
      <c r="J22" s="780">
        <f>SUM(B22:I22)</f>
        <v>59856774</v>
      </c>
    </row>
    <row r="23" spans="1:10" ht="30" customHeight="1" thickBot="1" x14ac:dyDescent="0.25">
      <c r="A23" s="397" t="s">
        <v>185</v>
      </c>
      <c r="B23" s="793"/>
      <c r="C23" s="263"/>
      <c r="D23" s="263">
        <v>97402000</v>
      </c>
      <c r="E23" s="263"/>
      <c r="F23" s="263"/>
      <c r="G23" s="263"/>
      <c r="H23" s="263"/>
      <c r="I23" s="794"/>
      <c r="J23" s="780">
        <f t="shared" si="0"/>
        <v>97402000</v>
      </c>
    </row>
    <row r="24" spans="1:10" ht="13.5" thickBot="1" x14ac:dyDescent="0.25">
      <c r="A24" s="396" t="s">
        <v>186</v>
      </c>
      <c r="B24" s="797"/>
      <c r="C24" s="345"/>
      <c r="D24" s="798"/>
      <c r="E24" s="345"/>
      <c r="F24" s="798"/>
      <c r="G24" s="345"/>
      <c r="H24" s="798"/>
      <c r="I24" s="799">
        <v>56729897</v>
      </c>
      <c r="J24" s="780">
        <f t="shared" si="0"/>
        <v>56729897</v>
      </c>
    </row>
    <row r="25" spans="1:10" s="204" customFormat="1" ht="13.5" thickBot="1" x14ac:dyDescent="0.25">
      <c r="A25" s="399" t="s">
        <v>30</v>
      </c>
      <c r="B25" s="783">
        <f t="shared" ref="B25:J25" si="1">SUM(B8:B24)</f>
        <v>367994600</v>
      </c>
      <c r="C25" s="802">
        <f t="shared" si="1"/>
        <v>1502501030</v>
      </c>
      <c r="D25" s="803">
        <f t="shared" si="1"/>
        <v>97402000</v>
      </c>
      <c r="E25" s="803">
        <f t="shared" si="1"/>
        <v>74139407</v>
      </c>
      <c r="F25" s="803">
        <f t="shared" si="1"/>
        <v>21112694</v>
      </c>
      <c r="G25" s="803">
        <f t="shared" si="1"/>
        <v>17224731</v>
      </c>
      <c r="H25" s="803">
        <f t="shared" si="1"/>
        <v>0</v>
      </c>
      <c r="I25" s="803">
        <f t="shared" si="1"/>
        <v>210043092</v>
      </c>
      <c r="J25" s="675">
        <f t="shared" si="1"/>
        <v>2290417554</v>
      </c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&amp;R2/1.sz. melléklete
...../2020. (......)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C24" sqref="C24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878" t="s">
        <v>595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86.25" customHeight="1" thickBot="1" x14ac:dyDescent="0.25">
      <c r="A6" s="879" t="s">
        <v>180</v>
      </c>
      <c r="B6" s="673" t="s">
        <v>159</v>
      </c>
      <c r="C6" s="800" t="s">
        <v>165</v>
      </c>
      <c r="D6" s="673" t="s">
        <v>178</v>
      </c>
      <c r="E6" s="673" t="s">
        <v>157</v>
      </c>
      <c r="F6" s="673" t="s">
        <v>179</v>
      </c>
      <c r="G6" s="673" t="s">
        <v>176</v>
      </c>
      <c r="H6" s="673" t="s">
        <v>167</v>
      </c>
      <c r="I6" s="673" t="s">
        <v>174</v>
      </c>
      <c r="J6" s="674" t="s">
        <v>30</v>
      </c>
    </row>
    <row r="7" spans="1:10" ht="25.5" customHeight="1" thickBot="1" x14ac:dyDescent="0.25">
      <c r="A7" s="880"/>
      <c r="B7" s="782" t="s">
        <v>488</v>
      </c>
      <c r="C7" s="801" t="s">
        <v>488</v>
      </c>
      <c r="D7" s="782" t="s">
        <v>488</v>
      </c>
      <c r="E7" s="782" t="s">
        <v>488</v>
      </c>
      <c r="F7" s="782" t="s">
        <v>488</v>
      </c>
      <c r="G7" s="782" t="s">
        <v>488</v>
      </c>
      <c r="H7" s="782" t="s">
        <v>488</v>
      </c>
      <c r="I7" s="782" t="s">
        <v>488</v>
      </c>
      <c r="J7" s="201" t="s">
        <v>488</v>
      </c>
    </row>
    <row r="8" spans="1:10" s="94" customFormat="1" ht="13.5" thickBot="1" x14ac:dyDescent="0.25">
      <c r="A8" s="854" t="s">
        <v>183</v>
      </c>
      <c r="B8" s="795">
        <v>1024000</v>
      </c>
      <c r="C8" s="785"/>
      <c r="D8" s="785"/>
      <c r="E8" s="785"/>
      <c r="F8" s="785"/>
      <c r="G8" s="785"/>
      <c r="H8" s="785"/>
      <c r="I8" s="796"/>
      <c r="J8" s="781">
        <f t="shared" ref="J8:J10" si="0">SUM(B8:I8)</f>
        <v>1024000</v>
      </c>
    </row>
    <row r="9" spans="1:10" s="94" customFormat="1" ht="13.5" thickBot="1" x14ac:dyDescent="0.25">
      <c r="A9" s="711" t="s">
        <v>596</v>
      </c>
      <c r="B9" s="795"/>
      <c r="C9" s="785"/>
      <c r="D9" s="785"/>
      <c r="E9" s="785">
        <v>770000</v>
      </c>
      <c r="F9" s="785"/>
      <c r="G9" s="785"/>
      <c r="H9" s="785"/>
      <c r="I9" s="796"/>
      <c r="J9" s="781">
        <f t="shared" si="0"/>
        <v>770000</v>
      </c>
    </row>
    <row r="10" spans="1:10" s="94" customFormat="1" ht="13.5" thickBot="1" x14ac:dyDescent="0.25">
      <c r="A10" s="711" t="s">
        <v>187</v>
      </c>
      <c r="B10" s="795"/>
      <c r="C10" s="785"/>
      <c r="D10" s="786"/>
      <c r="E10" s="785">
        <v>2540</v>
      </c>
      <c r="F10" s="786"/>
      <c r="G10" s="786"/>
      <c r="H10" s="786"/>
      <c r="I10" s="796"/>
      <c r="J10" s="781">
        <f t="shared" si="0"/>
        <v>2540</v>
      </c>
    </row>
    <row r="11" spans="1:10" s="682" customFormat="1" ht="13.5" thickBot="1" x14ac:dyDescent="0.25">
      <c r="A11" s="855" t="s">
        <v>30</v>
      </c>
      <c r="B11" s="803">
        <f t="shared" ref="B11:J11" si="1">SUM(B8:B10)</f>
        <v>1024000</v>
      </c>
      <c r="C11" s="856">
        <f t="shared" si="1"/>
        <v>0</v>
      </c>
      <c r="D11" s="803">
        <f t="shared" si="1"/>
        <v>0</v>
      </c>
      <c r="E11" s="803">
        <f t="shared" si="1"/>
        <v>772540</v>
      </c>
      <c r="F11" s="803">
        <f t="shared" si="1"/>
        <v>0</v>
      </c>
      <c r="G11" s="803">
        <f t="shared" si="1"/>
        <v>0</v>
      </c>
      <c r="H11" s="803">
        <f t="shared" si="1"/>
        <v>0</v>
      </c>
      <c r="I11" s="803">
        <f t="shared" si="1"/>
        <v>0</v>
      </c>
      <c r="J11" s="857">
        <f t="shared" si="1"/>
        <v>1796540</v>
      </c>
    </row>
  </sheetData>
  <mergeCells count="2">
    <mergeCell ref="A1:J2"/>
    <mergeCell ref="A6:A7"/>
  </mergeCells>
  <pageMargins left="0.7" right="0.7" top="0.75" bottom="0.75" header="0.3" footer="0.3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selection activeCell="H5" sqref="H5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878" t="s">
        <v>491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ht="15.75" customHeight="1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51.75" thickBot="1" x14ac:dyDescent="0.25">
      <c r="A6" s="879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81"/>
      <c r="B7" s="201" t="s">
        <v>488</v>
      </c>
      <c r="C7" s="201" t="s">
        <v>488</v>
      </c>
      <c r="D7" s="201" t="s">
        <v>488</v>
      </c>
      <c r="E7" s="201" t="s">
        <v>488</v>
      </c>
      <c r="F7" s="201" t="s">
        <v>488</v>
      </c>
      <c r="G7" s="201" t="s">
        <v>488</v>
      </c>
      <c r="H7" s="201" t="s">
        <v>488</v>
      </c>
      <c r="I7" s="201" t="s">
        <v>488</v>
      </c>
      <c r="J7" s="201" t="s">
        <v>488</v>
      </c>
    </row>
    <row r="8" spans="1:10" ht="31.5" customHeight="1" thickBot="1" x14ac:dyDescent="0.25">
      <c r="A8" s="452" t="s">
        <v>190</v>
      </c>
      <c r="B8" s="596"/>
      <c r="C8" s="596"/>
      <c r="D8" s="596"/>
      <c r="E8" s="596">
        <v>276200</v>
      </c>
      <c r="F8" s="596"/>
      <c r="G8" s="596"/>
      <c r="H8" s="596"/>
      <c r="I8" s="598"/>
      <c r="J8" s="600">
        <f>SUM(B8:I8)</f>
        <v>276200</v>
      </c>
    </row>
    <row r="9" spans="1:10" ht="23.25" customHeight="1" thickBot="1" x14ac:dyDescent="0.25">
      <c r="A9" s="593" t="s">
        <v>191</v>
      </c>
      <c r="B9" s="594">
        <v>0</v>
      </c>
      <c r="C9" s="594">
        <v>0</v>
      </c>
      <c r="D9" s="594">
        <v>0</v>
      </c>
      <c r="E9" s="594">
        <v>0</v>
      </c>
      <c r="F9" s="594">
        <v>0</v>
      </c>
      <c r="G9" s="594">
        <v>0</v>
      </c>
      <c r="H9" s="594">
        <v>0</v>
      </c>
      <c r="I9" s="599">
        <v>0</v>
      </c>
      <c r="J9" s="110">
        <f>SUM(B9:I9)</f>
        <v>0</v>
      </c>
    </row>
    <row r="10" spans="1:10" ht="32.25" customHeight="1" thickBot="1" x14ac:dyDescent="0.25">
      <c r="A10" s="595" t="s">
        <v>30</v>
      </c>
      <c r="B10" s="597">
        <f t="shared" ref="B10:I10" si="0">SUM(B8:B9)</f>
        <v>0</v>
      </c>
      <c r="C10" s="203">
        <f t="shared" si="0"/>
        <v>0</v>
      </c>
      <c r="D10" s="202">
        <f t="shared" si="0"/>
        <v>0</v>
      </c>
      <c r="E10" s="203">
        <f t="shared" si="0"/>
        <v>276200</v>
      </c>
      <c r="F10" s="202">
        <f t="shared" si="0"/>
        <v>0</v>
      </c>
      <c r="G10" s="203">
        <f t="shared" si="0"/>
        <v>0</v>
      </c>
      <c r="H10" s="203">
        <f t="shared" si="0"/>
        <v>0</v>
      </c>
      <c r="I10" s="202">
        <f t="shared" si="0"/>
        <v>0</v>
      </c>
      <c r="J10" s="110">
        <f>SUM(B10:I10)</f>
        <v>276200</v>
      </c>
    </row>
  </sheetData>
  <mergeCells count="2">
    <mergeCell ref="A6:A7"/>
    <mergeCell ref="A1:J2"/>
  </mergeCells>
  <phoneticPr fontId="39" type="noConversion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...../2020. (......)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selection activeCell="I8" sqref="I8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878" t="s">
        <v>490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ht="15.75" customHeight="1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51.75" thickBot="1" x14ac:dyDescent="0.25">
      <c r="A6" s="879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81"/>
      <c r="B7" s="201" t="s">
        <v>488</v>
      </c>
      <c r="C7" s="201" t="s">
        <v>488</v>
      </c>
      <c r="D7" s="201" t="s">
        <v>488</v>
      </c>
      <c r="E7" s="201" t="s">
        <v>488</v>
      </c>
      <c r="F7" s="201" t="s">
        <v>488</v>
      </c>
      <c r="G7" s="201" t="s">
        <v>488</v>
      </c>
      <c r="H7" s="201" t="s">
        <v>488</v>
      </c>
      <c r="I7" s="201" t="s">
        <v>488</v>
      </c>
      <c r="J7" s="201" t="s">
        <v>488</v>
      </c>
    </row>
    <row r="8" spans="1:10" ht="31.5" customHeight="1" thickBot="1" x14ac:dyDescent="0.25">
      <c r="A8" s="452" t="s">
        <v>190</v>
      </c>
      <c r="B8" s="596"/>
      <c r="C8" s="596"/>
      <c r="D8" s="596"/>
      <c r="E8" s="596">
        <v>276200</v>
      </c>
      <c r="F8" s="596"/>
      <c r="G8" s="596"/>
      <c r="H8" s="596"/>
      <c r="I8" s="598"/>
      <c r="J8" s="600">
        <f>SUM(B8:I8)</f>
        <v>276200</v>
      </c>
    </row>
    <row r="9" spans="1:10" ht="23.25" customHeight="1" thickBot="1" x14ac:dyDescent="0.25">
      <c r="A9" s="593" t="s">
        <v>191</v>
      </c>
      <c r="B9" s="594">
        <v>0</v>
      </c>
      <c r="C9" s="594">
        <v>0</v>
      </c>
      <c r="D9" s="594">
        <v>0</v>
      </c>
      <c r="E9" s="594">
        <v>0</v>
      </c>
      <c r="F9" s="594">
        <v>0</v>
      </c>
      <c r="G9" s="594">
        <v>0</v>
      </c>
      <c r="H9" s="594">
        <v>0</v>
      </c>
      <c r="I9" s="599">
        <v>0</v>
      </c>
      <c r="J9" s="110">
        <f>SUM(B9:I9)</f>
        <v>0</v>
      </c>
    </row>
    <row r="10" spans="1:10" ht="32.25" customHeight="1" thickBot="1" x14ac:dyDescent="0.25">
      <c r="A10" s="595" t="s">
        <v>30</v>
      </c>
      <c r="B10" s="597">
        <f t="shared" ref="B10:I10" si="0">SUM(B8:B9)</f>
        <v>0</v>
      </c>
      <c r="C10" s="203">
        <f t="shared" si="0"/>
        <v>0</v>
      </c>
      <c r="D10" s="202">
        <f t="shared" si="0"/>
        <v>0</v>
      </c>
      <c r="E10" s="203">
        <f t="shared" si="0"/>
        <v>276200</v>
      </c>
      <c r="F10" s="202">
        <f t="shared" si="0"/>
        <v>0</v>
      </c>
      <c r="G10" s="203">
        <f t="shared" si="0"/>
        <v>0</v>
      </c>
      <c r="H10" s="203">
        <f t="shared" si="0"/>
        <v>0</v>
      </c>
      <c r="I10" s="202">
        <f t="shared" si="0"/>
        <v>0</v>
      </c>
      <c r="J10" s="110">
        <f>SUM(B10:I10)</f>
        <v>276200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...../2020. (......)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activeCell="H31" sqref="H31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10" ht="15.75" customHeight="1" x14ac:dyDescent="0.2">
      <c r="A1" s="878" t="s">
        <v>489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ht="12.75" customHeight="1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51.75" thickBot="1" x14ac:dyDescent="0.25">
      <c r="A6" s="879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80"/>
      <c r="B7" s="201" t="s">
        <v>488</v>
      </c>
      <c r="C7" s="201" t="s">
        <v>488</v>
      </c>
      <c r="D7" s="201" t="s">
        <v>488</v>
      </c>
      <c r="E7" s="201" t="s">
        <v>488</v>
      </c>
      <c r="F7" s="201" t="s">
        <v>488</v>
      </c>
      <c r="G7" s="201" t="s">
        <v>488</v>
      </c>
      <c r="H7" s="201" t="s">
        <v>488</v>
      </c>
      <c r="I7" s="201" t="s">
        <v>488</v>
      </c>
      <c r="J7" s="201" t="s">
        <v>488</v>
      </c>
    </row>
    <row r="8" spans="1:10" x14ac:dyDescent="0.2">
      <c r="A8" s="601" t="s">
        <v>192</v>
      </c>
      <c r="B8" s="263">
        <v>0</v>
      </c>
      <c r="C8" s="263">
        <v>0</v>
      </c>
      <c r="D8" s="263">
        <v>0</v>
      </c>
      <c r="E8" s="264">
        <f>SUM(B8:D8)</f>
        <v>0</v>
      </c>
      <c r="F8" s="462">
        <v>0</v>
      </c>
      <c r="G8" s="462">
        <v>0</v>
      </c>
      <c r="H8" s="462">
        <v>0</v>
      </c>
      <c r="I8" s="607">
        <v>0</v>
      </c>
      <c r="J8" s="610">
        <f>SUM(B8:I8)</f>
        <v>0</v>
      </c>
    </row>
    <row r="9" spans="1:10" x14ac:dyDescent="0.2">
      <c r="A9" s="262" t="s">
        <v>193</v>
      </c>
      <c r="B9" s="263">
        <v>0</v>
      </c>
      <c r="C9" s="263">
        <v>0</v>
      </c>
      <c r="D9" s="263">
        <v>0</v>
      </c>
      <c r="E9" s="265">
        <v>688000</v>
      </c>
      <c r="F9" s="462">
        <v>0</v>
      </c>
      <c r="G9" s="462">
        <v>0</v>
      </c>
      <c r="H9" s="462">
        <v>0</v>
      </c>
      <c r="I9" s="607">
        <v>0</v>
      </c>
      <c r="J9" s="610">
        <f>SUM(B9:I9)</f>
        <v>688000</v>
      </c>
    </row>
    <row r="10" spans="1:10" x14ac:dyDescent="0.2">
      <c r="A10" s="262" t="s">
        <v>194</v>
      </c>
      <c r="B10" s="263">
        <v>0</v>
      </c>
      <c r="C10" s="263">
        <v>0</v>
      </c>
      <c r="D10" s="263">
        <v>0</v>
      </c>
      <c r="E10" s="264">
        <v>0</v>
      </c>
      <c r="F10" s="462">
        <v>0</v>
      </c>
      <c r="G10" s="462">
        <v>0</v>
      </c>
      <c r="H10" s="462">
        <v>0</v>
      </c>
      <c r="I10" s="607">
        <v>0</v>
      </c>
      <c r="J10" s="610">
        <f>SUM(B10:I10)</f>
        <v>0</v>
      </c>
    </row>
    <row r="11" spans="1:10" ht="13.5" thickBot="1" x14ac:dyDescent="0.25">
      <c r="A11" s="602" t="s">
        <v>195</v>
      </c>
      <c r="B11" s="594">
        <v>0</v>
      </c>
      <c r="C11" s="594">
        <v>0</v>
      </c>
      <c r="D11" s="594">
        <v>0</v>
      </c>
      <c r="E11" s="603">
        <f>SUM(B11:D11)</f>
        <v>0</v>
      </c>
      <c r="F11" s="604">
        <v>0</v>
      </c>
      <c r="G11" s="604">
        <v>0</v>
      </c>
      <c r="H11" s="604">
        <v>0</v>
      </c>
      <c r="I11" s="608"/>
      <c r="J11" s="611">
        <f>SUM(B11:I11)</f>
        <v>0</v>
      </c>
    </row>
    <row r="12" spans="1:10" s="113" customFormat="1" ht="13.5" thickBot="1" x14ac:dyDescent="0.25">
      <c r="A12" s="605" t="s">
        <v>110</v>
      </c>
      <c r="B12" s="606">
        <f>SUM(B8:B9)</f>
        <v>0</v>
      </c>
      <c r="C12" s="606">
        <f>SUM(C8:C9)</f>
        <v>0</v>
      </c>
      <c r="D12" s="606">
        <f t="shared" ref="D12:I12" si="0">SUM(D8:D11)</f>
        <v>0</v>
      </c>
      <c r="E12" s="606">
        <f t="shared" si="0"/>
        <v>688000</v>
      </c>
      <c r="F12" s="606">
        <f t="shared" si="0"/>
        <v>0</v>
      </c>
      <c r="G12" s="606">
        <f t="shared" si="0"/>
        <v>0</v>
      </c>
      <c r="H12" s="606">
        <f t="shared" si="0"/>
        <v>0</v>
      </c>
      <c r="I12" s="609">
        <f t="shared" si="0"/>
        <v>0</v>
      </c>
      <c r="J12" s="612">
        <f>SUM(B12:I12)</f>
        <v>688000</v>
      </c>
    </row>
  </sheetData>
  <mergeCells count="2">
    <mergeCell ref="A6:A7"/>
    <mergeCell ref="A1:J2"/>
  </mergeCells>
  <phoneticPr fontId="39" type="noConversion"/>
  <pageMargins left="0.75" right="0.75" top="1" bottom="1" header="0.5" footer="0.5"/>
  <pageSetup paperSize="9" scale="63" orientation="landscape" r:id="rId1"/>
  <headerFooter alignWithMargins="0">
    <oddHeader>&amp;R2.3.sz. melléklete
...../2020. (......)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activeCell="A3" sqref="A3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3" customWidth="1"/>
  </cols>
  <sheetData>
    <row r="1" spans="1:10" ht="15.75" customHeight="1" x14ac:dyDescent="0.2">
      <c r="A1" s="878" t="s">
        <v>602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ht="12.75" customHeight="1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64.5" thickBot="1" x14ac:dyDescent="0.25">
      <c r="A6" s="879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80"/>
      <c r="B7" s="201" t="s">
        <v>488</v>
      </c>
      <c r="C7" s="201" t="s">
        <v>488</v>
      </c>
      <c r="D7" s="201" t="s">
        <v>488</v>
      </c>
      <c r="E7" s="201" t="s">
        <v>488</v>
      </c>
      <c r="F7" s="201" t="s">
        <v>488</v>
      </c>
      <c r="G7" s="201" t="s">
        <v>488</v>
      </c>
      <c r="H7" s="201" t="s">
        <v>488</v>
      </c>
      <c r="I7" s="201" t="s">
        <v>488</v>
      </c>
      <c r="J7" s="201" t="s">
        <v>488</v>
      </c>
    </row>
    <row r="8" spans="1:10" x14ac:dyDescent="0.2">
      <c r="A8" s="601" t="s">
        <v>192</v>
      </c>
      <c r="B8" s="263">
        <v>0</v>
      </c>
      <c r="C8" s="263">
        <v>0</v>
      </c>
      <c r="D8" s="263">
        <v>0</v>
      </c>
      <c r="E8" s="264">
        <f>SUM(B8:D8)</f>
        <v>0</v>
      </c>
      <c r="F8" s="462">
        <v>0</v>
      </c>
      <c r="G8" s="462">
        <v>0</v>
      </c>
      <c r="H8" s="462">
        <v>0</v>
      </c>
      <c r="I8" s="607">
        <v>0</v>
      </c>
      <c r="J8" s="610">
        <f>SUM(B8:I8)</f>
        <v>0</v>
      </c>
    </row>
    <row r="9" spans="1:10" x14ac:dyDescent="0.2">
      <c r="A9" s="262" t="s">
        <v>193</v>
      </c>
      <c r="B9" s="263">
        <v>0</v>
      </c>
      <c r="C9" s="263">
        <v>0</v>
      </c>
      <c r="D9" s="263">
        <v>0</v>
      </c>
      <c r="E9" s="265">
        <v>688000</v>
      </c>
      <c r="F9" s="462">
        <v>0</v>
      </c>
      <c r="G9" s="462">
        <v>0</v>
      </c>
      <c r="H9" s="462">
        <v>0</v>
      </c>
      <c r="I9" s="607">
        <v>0</v>
      </c>
      <c r="J9" s="610">
        <f>SUM(B9:I9)</f>
        <v>688000</v>
      </c>
    </row>
    <row r="10" spans="1:10" x14ac:dyDescent="0.2">
      <c r="A10" s="262" t="s">
        <v>194</v>
      </c>
      <c r="B10" s="263">
        <v>0</v>
      </c>
      <c r="C10" s="263">
        <v>0</v>
      </c>
      <c r="D10" s="263">
        <v>0</v>
      </c>
      <c r="E10" s="264">
        <v>0</v>
      </c>
      <c r="F10" s="462">
        <v>0</v>
      </c>
      <c r="G10" s="462">
        <v>0</v>
      </c>
      <c r="H10" s="462">
        <v>0</v>
      </c>
      <c r="I10" s="607">
        <v>0</v>
      </c>
      <c r="J10" s="610">
        <f>SUM(B10:I10)</f>
        <v>0</v>
      </c>
    </row>
    <row r="11" spans="1:10" ht="13.5" thickBot="1" x14ac:dyDescent="0.25">
      <c r="A11" s="602" t="s">
        <v>195</v>
      </c>
      <c r="B11" s="594">
        <v>0</v>
      </c>
      <c r="C11" s="594">
        <v>0</v>
      </c>
      <c r="D11" s="594">
        <v>0</v>
      </c>
      <c r="E11" s="603">
        <f>SUM(B11:D11)</f>
        <v>0</v>
      </c>
      <c r="F11" s="604">
        <v>0</v>
      </c>
      <c r="G11" s="604">
        <v>0</v>
      </c>
      <c r="H11" s="604">
        <v>0</v>
      </c>
      <c r="I11" s="608"/>
      <c r="J11" s="611">
        <f>SUM(B11:I11)</f>
        <v>0</v>
      </c>
    </row>
    <row r="12" spans="1:10" s="113" customFormat="1" ht="13.5" thickBot="1" x14ac:dyDescent="0.25">
      <c r="A12" s="605" t="s">
        <v>110</v>
      </c>
      <c r="B12" s="606">
        <f>SUM(B8:B9)</f>
        <v>0</v>
      </c>
      <c r="C12" s="606">
        <f>SUM(C8:C9)</f>
        <v>0</v>
      </c>
      <c r="D12" s="606">
        <f t="shared" ref="D12:I12" si="0">SUM(D8:D11)</f>
        <v>0</v>
      </c>
      <c r="E12" s="606">
        <f t="shared" si="0"/>
        <v>688000</v>
      </c>
      <c r="F12" s="606">
        <f t="shared" si="0"/>
        <v>0</v>
      </c>
      <c r="G12" s="606">
        <f t="shared" si="0"/>
        <v>0</v>
      </c>
      <c r="H12" s="606">
        <f t="shared" si="0"/>
        <v>0</v>
      </c>
      <c r="I12" s="609">
        <f t="shared" si="0"/>
        <v>0</v>
      </c>
      <c r="J12" s="612">
        <f>SUM(B12:I12)</f>
        <v>688000</v>
      </c>
    </row>
    <row r="16" spans="1:10" ht="13.5" thickBot="1" x14ac:dyDescent="0.25"/>
    <row r="17" spans="1:1" ht="13.5" thickBot="1" x14ac:dyDescent="0.25">
      <c r="A17" s="613"/>
    </row>
  </sheetData>
  <mergeCells count="2">
    <mergeCell ref="A6:A7"/>
    <mergeCell ref="A1:J2"/>
  </mergeCells>
  <phoneticPr fontId="39" type="noConversion"/>
  <pageMargins left="0.75" right="0.75" top="1" bottom="1" header="0.5" footer="0.5"/>
  <pageSetup paperSize="9" scale="70" orientation="landscape" r:id="rId1"/>
  <headerFooter alignWithMargins="0">
    <oddHeader>&amp;R2.3)a sz. melléklete
...../2020. (......) Egyek Önk.</oddHeader>
  </headerFooter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K71"/>
  <sheetViews>
    <sheetView zoomScaleNormal="100" workbookViewId="0">
      <selection activeCell="G21" sqref="G21"/>
    </sheetView>
  </sheetViews>
  <sheetFormatPr defaultRowHeight="12.75" x14ac:dyDescent="0.2"/>
  <cols>
    <col min="5" max="5" width="30.42578125" customWidth="1"/>
    <col min="6" max="6" width="11.28515625" style="143" customWidth="1"/>
    <col min="7" max="7" width="16.7109375" customWidth="1"/>
    <col min="8" max="8" width="17.85546875" style="136" customWidth="1"/>
    <col min="9" max="9" width="12.7109375" customWidth="1"/>
    <col min="11" max="11" width="10.7109375" bestFit="1" customWidth="1"/>
    <col min="12" max="12" width="12" customWidth="1"/>
  </cols>
  <sheetData>
    <row r="1" spans="1:11" ht="13.5" customHeight="1" thickBot="1" x14ac:dyDescent="0.25">
      <c r="A1" s="914" t="s">
        <v>45</v>
      </c>
      <c r="B1" s="914"/>
      <c r="C1" s="914"/>
      <c r="D1" s="914"/>
      <c r="E1" s="914"/>
      <c r="F1" s="910" t="s">
        <v>501</v>
      </c>
      <c r="G1" s="910"/>
      <c r="H1" s="910"/>
      <c r="I1" s="16"/>
    </row>
    <row r="2" spans="1:11" ht="13.5" thickBot="1" x14ac:dyDescent="0.25">
      <c r="A2" s="914"/>
      <c r="B2" s="914"/>
      <c r="C2" s="914"/>
      <c r="D2" s="914"/>
      <c r="E2" s="914"/>
      <c r="F2" s="911" t="s">
        <v>33</v>
      </c>
      <c r="G2" s="912" t="s">
        <v>43</v>
      </c>
      <c r="H2" s="913"/>
      <c r="I2" s="9"/>
    </row>
    <row r="3" spans="1:11" ht="13.5" thickBot="1" x14ac:dyDescent="0.25">
      <c r="A3" s="914"/>
      <c r="B3" s="914"/>
      <c r="C3" s="914"/>
      <c r="D3" s="914"/>
      <c r="E3" s="914"/>
      <c r="F3" s="911"/>
      <c r="G3" s="23" t="s">
        <v>365</v>
      </c>
      <c r="H3" s="133" t="s">
        <v>44</v>
      </c>
      <c r="I3" s="9"/>
    </row>
    <row r="4" spans="1:11" s="223" customFormat="1" ht="15" x14ac:dyDescent="0.25">
      <c r="A4" s="915" t="s">
        <v>146</v>
      </c>
      <c r="B4" s="916"/>
      <c r="C4" s="916"/>
      <c r="D4" s="916"/>
      <c r="E4" s="916"/>
      <c r="F4" s="916"/>
      <c r="G4" s="917"/>
      <c r="H4" s="221">
        <f>H5+H16+H22+H24+H25+H23+H17+H18+H19+H20+H21</f>
        <v>258845886</v>
      </c>
      <c r="I4" s="222"/>
    </row>
    <row r="5" spans="1:11" ht="13.5" thickBot="1" x14ac:dyDescent="0.25">
      <c r="A5" s="907" t="s">
        <v>136</v>
      </c>
      <c r="B5" s="908"/>
      <c r="C5" s="908"/>
      <c r="D5" s="908"/>
      <c r="E5" s="908"/>
      <c r="F5" s="908"/>
      <c r="G5" s="909"/>
      <c r="H5" s="215">
        <f>H7+H12+H15+H6+H13+H14</f>
        <v>158572438</v>
      </c>
      <c r="I5" s="12"/>
    </row>
    <row r="6" spans="1:11" s="212" customFormat="1" ht="13.5" thickBot="1" x14ac:dyDescent="0.25">
      <c r="A6" s="904" t="s">
        <v>137</v>
      </c>
      <c r="B6" s="905"/>
      <c r="C6" s="905"/>
      <c r="D6" s="905"/>
      <c r="E6" s="906"/>
      <c r="F6" s="266">
        <v>16.57</v>
      </c>
      <c r="G6" s="216">
        <v>4580000</v>
      </c>
      <c r="H6" s="217">
        <f>F6*G6</f>
        <v>75890600</v>
      </c>
      <c r="I6" s="211"/>
    </row>
    <row r="7" spans="1:11" s="112" customFormat="1" ht="13.5" thickBot="1" x14ac:dyDescent="0.25">
      <c r="A7" s="901" t="s">
        <v>138</v>
      </c>
      <c r="B7" s="902"/>
      <c r="C7" s="902"/>
      <c r="D7" s="902"/>
      <c r="E7" s="903"/>
      <c r="F7" s="218"/>
      <c r="G7" s="219"/>
      <c r="H7" s="220">
        <f>SUM(H8:H11)</f>
        <v>30897810</v>
      </c>
      <c r="I7" s="213"/>
    </row>
    <row r="8" spans="1:11" x14ac:dyDescent="0.2">
      <c r="A8" s="885" t="s">
        <v>139</v>
      </c>
      <c r="B8" s="886"/>
      <c r="C8" s="886"/>
      <c r="D8" s="886"/>
      <c r="E8" s="886"/>
      <c r="F8" s="270">
        <v>22300</v>
      </c>
      <c r="G8" s="271"/>
      <c r="H8" s="272">
        <v>10132920</v>
      </c>
      <c r="I8" s="6"/>
    </row>
    <row r="9" spans="1:11" x14ac:dyDescent="0.2">
      <c r="A9" s="887" t="s">
        <v>140</v>
      </c>
      <c r="B9" s="888"/>
      <c r="C9" s="888"/>
      <c r="D9" s="888"/>
      <c r="E9" s="888"/>
      <c r="F9" s="178"/>
      <c r="G9" s="267"/>
      <c r="H9" s="259">
        <v>12704000</v>
      </c>
      <c r="I9" s="6"/>
    </row>
    <row r="10" spans="1:11" x14ac:dyDescent="0.2">
      <c r="A10" s="887" t="s">
        <v>141</v>
      </c>
      <c r="B10" s="888"/>
      <c r="C10" s="888"/>
      <c r="D10" s="888"/>
      <c r="E10" s="888"/>
      <c r="F10" s="178"/>
      <c r="G10" s="267"/>
      <c r="H10" s="259">
        <v>100000</v>
      </c>
      <c r="I10" s="6"/>
    </row>
    <row r="11" spans="1:11" ht="13.5" thickBot="1" x14ac:dyDescent="0.25">
      <c r="A11" s="887" t="s">
        <v>142</v>
      </c>
      <c r="B11" s="888"/>
      <c r="C11" s="888"/>
      <c r="D11" s="888"/>
      <c r="E11" s="888"/>
      <c r="F11" s="181"/>
      <c r="G11" s="268"/>
      <c r="H11" s="269">
        <v>7960890</v>
      </c>
      <c r="I11" s="6"/>
    </row>
    <row r="12" spans="1:11" s="113" customFormat="1" ht="14.25" thickBot="1" x14ac:dyDescent="0.3">
      <c r="A12" s="889" t="s">
        <v>143</v>
      </c>
      <c r="B12" s="890"/>
      <c r="C12" s="890"/>
      <c r="D12" s="890"/>
      <c r="E12" s="891"/>
      <c r="F12" s="224"/>
      <c r="G12" s="225"/>
      <c r="H12" s="226">
        <v>14404500</v>
      </c>
      <c r="I12" s="214"/>
      <c r="K12" s="712"/>
    </row>
    <row r="13" spans="1:11" s="113" customFormat="1" ht="14.25" thickBot="1" x14ac:dyDescent="0.3">
      <c r="A13" s="889" t="s">
        <v>307</v>
      </c>
      <c r="B13" s="890"/>
      <c r="C13" s="890"/>
      <c r="D13" s="890"/>
      <c r="E13" s="891"/>
      <c r="F13" s="224"/>
      <c r="G13" s="225"/>
      <c r="H13" s="226">
        <v>35791528</v>
      </c>
      <c r="I13" s="214"/>
      <c r="K13" s="712"/>
    </row>
    <row r="14" spans="1:11" s="113" customFormat="1" ht="14.25" thickBot="1" x14ac:dyDescent="0.3">
      <c r="A14" s="889" t="s">
        <v>448</v>
      </c>
      <c r="B14" s="890"/>
      <c r="C14" s="890"/>
      <c r="D14" s="890"/>
      <c r="E14" s="891"/>
      <c r="F14" s="224"/>
      <c r="G14" s="225"/>
      <c r="H14" s="226">
        <v>1538000</v>
      </c>
      <c r="I14" s="214"/>
      <c r="K14" s="712"/>
    </row>
    <row r="15" spans="1:11" s="113" customFormat="1" ht="14.25" thickBot="1" x14ac:dyDescent="0.3">
      <c r="A15" s="889" t="s">
        <v>308</v>
      </c>
      <c r="B15" s="890"/>
      <c r="C15" s="890"/>
      <c r="D15" s="890"/>
      <c r="E15" s="891"/>
      <c r="F15" s="224">
        <v>100</v>
      </c>
      <c r="G15" s="225">
        <v>500</v>
      </c>
      <c r="H15" s="226">
        <f>F15*G15</f>
        <v>50000</v>
      </c>
      <c r="I15" s="214"/>
    </row>
    <row r="16" spans="1:11" s="113" customFormat="1" ht="14.25" thickBot="1" x14ac:dyDescent="0.3">
      <c r="A16" s="889" t="s">
        <v>144</v>
      </c>
      <c r="B16" s="890"/>
      <c r="C16" s="890"/>
      <c r="D16" s="890"/>
      <c r="E16" s="891"/>
      <c r="F16" s="224"/>
      <c r="G16" s="225"/>
      <c r="H16" s="226">
        <v>58157390</v>
      </c>
      <c r="I16" s="214"/>
    </row>
    <row r="17" spans="1:9" s="113" customFormat="1" ht="43.5" customHeight="1" thickBot="1" x14ac:dyDescent="0.3">
      <c r="A17" s="898" t="s">
        <v>496</v>
      </c>
      <c r="B17" s="899"/>
      <c r="C17" s="899"/>
      <c r="D17" s="899"/>
      <c r="E17" s="900"/>
      <c r="F17" s="804">
        <v>1.7</v>
      </c>
      <c r="G17" s="225">
        <v>4419000</v>
      </c>
      <c r="H17" s="226">
        <f>F17*G17</f>
        <v>7512300</v>
      </c>
      <c r="I17" s="214"/>
    </row>
    <row r="18" spans="1:9" s="113" customFormat="1" ht="42" customHeight="1" thickBot="1" x14ac:dyDescent="0.3">
      <c r="A18" s="898" t="s">
        <v>497</v>
      </c>
      <c r="B18" s="899"/>
      <c r="C18" s="899"/>
      <c r="D18" s="899"/>
      <c r="E18" s="900"/>
      <c r="F18" s="224">
        <v>2</v>
      </c>
      <c r="G18" s="225">
        <v>2993000</v>
      </c>
      <c r="H18" s="226">
        <f>F18*G18</f>
        <v>5986000</v>
      </c>
      <c r="I18" s="214"/>
    </row>
    <row r="19" spans="1:9" s="113" customFormat="1" ht="15.75" customHeight="1" thickBot="1" x14ac:dyDescent="0.3">
      <c r="A19" s="898" t="s">
        <v>498</v>
      </c>
      <c r="B19" s="899"/>
      <c r="C19" s="899"/>
      <c r="D19" s="899"/>
      <c r="E19" s="900"/>
      <c r="F19" s="224"/>
      <c r="G19" s="225"/>
      <c r="H19" s="226">
        <v>6291000</v>
      </c>
      <c r="I19" s="214"/>
    </row>
    <row r="20" spans="1:9" s="113" customFormat="1" ht="15.75" customHeight="1" thickBot="1" x14ac:dyDescent="0.3">
      <c r="A20" s="898" t="s">
        <v>499</v>
      </c>
      <c r="B20" s="899"/>
      <c r="C20" s="899"/>
      <c r="D20" s="899"/>
      <c r="E20" s="900"/>
      <c r="F20" s="224"/>
      <c r="G20" s="225"/>
      <c r="H20" s="226">
        <v>1056000</v>
      </c>
      <c r="I20" s="214"/>
    </row>
    <row r="21" spans="1:9" s="113" customFormat="1" ht="15.75" customHeight="1" thickBot="1" x14ac:dyDescent="0.3">
      <c r="A21" s="898" t="s">
        <v>500</v>
      </c>
      <c r="B21" s="899"/>
      <c r="C21" s="899"/>
      <c r="D21" s="899"/>
      <c r="E21" s="900"/>
      <c r="F21" s="224"/>
      <c r="G21" s="225"/>
      <c r="H21" s="226">
        <v>1482333</v>
      </c>
      <c r="I21" s="214"/>
    </row>
    <row r="22" spans="1:9" s="113" customFormat="1" ht="14.25" thickBot="1" x14ac:dyDescent="0.3">
      <c r="A22" s="895" t="s">
        <v>145</v>
      </c>
      <c r="B22" s="896"/>
      <c r="C22" s="896"/>
      <c r="D22" s="896"/>
      <c r="E22" s="897"/>
      <c r="F22" s="224" t="s">
        <v>196</v>
      </c>
      <c r="G22" s="227">
        <v>3100000</v>
      </c>
      <c r="H22" s="228">
        <v>4250000</v>
      </c>
      <c r="I22" s="214"/>
    </row>
    <row r="23" spans="1:9" s="113" customFormat="1" ht="34.5" customHeight="1" thickBot="1" x14ac:dyDescent="0.3">
      <c r="A23" s="892" t="s">
        <v>366</v>
      </c>
      <c r="B23" s="893"/>
      <c r="C23" s="893"/>
      <c r="D23" s="893"/>
      <c r="E23" s="894"/>
      <c r="F23" s="224"/>
      <c r="G23" s="227">
        <v>570</v>
      </c>
      <c r="H23" s="232">
        <v>8619540</v>
      </c>
      <c r="I23" s="214"/>
    </row>
    <row r="24" spans="1:9" s="113" customFormat="1" ht="14.25" thickBot="1" x14ac:dyDescent="0.3">
      <c r="A24" s="889" t="s">
        <v>197</v>
      </c>
      <c r="B24" s="890"/>
      <c r="C24" s="890"/>
      <c r="D24" s="890"/>
      <c r="E24" s="891"/>
      <c r="F24" s="224">
        <v>99</v>
      </c>
      <c r="G24" s="227">
        <v>2550</v>
      </c>
      <c r="H24" s="232">
        <v>244800</v>
      </c>
      <c r="I24" s="214"/>
    </row>
    <row r="25" spans="1:9" ht="27" customHeight="1" thickBot="1" x14ac:dyDescent="0.25">
      <c r="A25" s="882" t="s">
        <v>149</v>
      </c>
      <c r="B25" s="883"/>
      <c r="C25" s="883"/>
      <c r="D25" s="883"/>
      <c r="E25" s="884"/>
      <c r="F25" s="230">
        <v>1210</v>
      </c>
      <c r="G25" s="231">
        <v>5448</v>
      </c>
      <c r="H25" s="232">
        <v>6674085</v>
      </c>
      <c r="I25" s="6"/>
    </row>
    <row r="26" spans="1:9" x14ac:dyDescent="0.2">
      <c r="A26" s="19"/>
      <c r="B26" s="5"/>
      <c r="C26" s="8"/>
      <c r="D26" s="5"/>
      <c r="E26" s="5"/>
      <c r="F26" s="145"/>
      <c r="G26" s="6"/>
      <c r="H26" s="132"/>
      <c r="I26" s="6"/>
    </row>
    <row r="27" spans="1:9" x14ac:dyDescent="0.2">
      <c r="A27" s="19"/>
      <c r="B27" s="5"/>
      <c r="C27" s="8"/>
      <c r="D27" s="5"/>
      <c r="E27" s="5"/>
      <c r="F27" s="145"/>
      <c r="G27" s="6"/>
      <c r="H27" s="132"/>
      <c r="I27" s="6"/>
    </row>
    <row r="28" spans="1:9" x14ac:dyDescent="0.2">
      <c r="A28" s="19"/>
      <c r="B28" s="5"/>
      <c r="C28" s="8"/>
      <c r="D28" s="5"/>
      <c r="E28" s="5"/>
      <c r="F28" s="145"/>
      <c r="G28" s="6"/>
      <c r="H28" s="132"/>
      <c r="I28" s="6"/>
    </row>
    <row r="29" spans="1:9" x14ac:dyDescent="0.2">
      <c r="A29" s="19"/>
      <c r="B29" s="5"/>
      <c r="C29" s="8"/>
      <c r="D29" s="5"/>
      <c r="E29" s="5"/>
      <c r="F29" s="145"/>
      <c r="G29" s="6"/>
      <c r="H29" s="132"/>
      <c r="I29" s="6"/>
    </row>
    <row r="30" spans="1:9" x14ac:dyDescent="0.2">
      <c r="A30" s="19"/>
      <c r="B30" s="5"/>
      <c r="C30" s="8"/>
      <c r="D30" s="5"/>
      <c r="E30" s="5"/>
      <c r="F30" s="145"/>
      <c r="G30" s="6"/>
      <c r="H30" s="132"/>
      <c r="I30" s="6"/>
    </row>
    <row r="31" spans="1:9" x14ac:dyDescent="0.2">
      <c r="A31" s="19"/>
      <c r="B31" s="5"/>
      <c r="C31" s="8"/>
      <c r="D31" s="5"/>
      <c r="E31" s="5"/>
      <c r="F31" s="145"/>
      <c r="G31" s="6"/>
      <c r="H31" s="132"/>
      <c r="I31" s="6"/>
    </row>
    <row r="32" spans="1:9" x14ac:dyDescent="0.2">
      <c r="A32" s="19"/>
      <c r="B32" s="5"/>
      <c r="C32" s="8"/>
      <c r="D32" s="5"/>
      <c r="E32" s="5"/>
      <c r="F32" s="145"/>
      <c r="G32" s="6"/>
      <c r="H32" s="132"/>
      <c r="I32" s="6"/>
    </row>
    <row r="33" spans="1:9" x14ac:dyDescent="0.2">
      <c r="A33" s="19"/>
      <c r="B33" s="5"/>
      <c r="C33" s="5"/>
      <c r="D33" s="5"/>
      <c r="E33" s="5"/>
      <c r="F33" s="145"/>
      <c r="G33" s="6"/>
      <c r="H33" s="132"/>
      <c r="I33" s="6"/>
    </row>
    <row r="34" spans="1:9" x14ac:dyDescent="0.2">
      <c r="A34" s="19"/>
      <c r="B34" s="5"/>
      <c r="C34" s="5"/>
      <c r="D34" s="5"/>
      <c r="E34" s="5"/>
      <c r="F34" s="145"/>
      <c r="G34" s="6"/>
      <c r="H34" s="132"/>
      <c r="I34" s="6"/>
    </row>
    <row r="35" spans="1:9" x14ac:dyDescent="0.2">
      <c r="A35" s="19"/>
      <c r="B35" s="5"/>
      <c r="C35" s="5"/>
      <c r="D35" s="5"/>
      <c r="E35" s="5"/>
      <c r="F35" s="145"/>
      <c r="G35" s="6"/>
      <c r="H35" s="132"/>
      <c r="I35" s="6"/>
    </row>
    <row r="36" spans="1:9" x14ac:dyDescent="0.2">
      <c r="A36" s="19"/>
      <c r="B36" s="5"/>
      <c r="C36" s="5"/>
      <c r="D36" s="5"/>
      <c r="E36" s="5"/>
      <c r="F36" s="145"/>
      <c r="G36" s="6"/>
      <c r="H36" s="132"/>
      <c r="I36" s="6"/>
    </row>
    <row r="37" spans="1:9" x14ac:dyDescent="0.2">
      <c r="A37" s="19"/>
      <c r="B37" s="5"/>
      <c r="C37" s="5"/>
      <c r="D37" s="5"/>
      <c r="E37" s="5"/>
      <c r="F37" s="145"/>
      <c r="G37" s="6"/>
      <c r="H37" s="132"/>
      <c r="I37" s="6"/>
    </row>
    <row r="38" spans="1:9" x14ac:dyDescent="0.2">
      <c r="A38" s="18"/>
      <c r="B38" s="5"/>
      <c r="C38" s="5"/>
      <c r="D38" s="5"/>
      <c r="E38" s="5"/>
      <c r="F38" s="145"/>
      <c r="G38" s="6"/>
      <c r="H38" s="132"/>
      <c r="I38" s="6"/>
    </row>
    <row r="39" spans="1:9" x14ac:dyDescent="0.2">
      <c r="A39" s="18"/>
      <c r="B39" s="5"/>
      <c r="C39" s="5"/>
      <c r="D39" s="5"/>
      <c r="E39" s="5"/>
      <c r="F39" s="145"/>
      <c r="G39" s="6"/>
      <c r="H39" s="132"/>
      <c r="I39" s="6"/>
    </row>
    <row r="40" spans="1:9" x14ac:dyDescent="0.2">
      <c r="A40" s="19"/>
      <c r="B40" s="5"/>
      <c r="C40" s="5"/>
      <c r="D40" s="5"/>
      <c r="E40" s="5"/>
      <c r="F40" s="145"/>
      <c r="G40" s="6"/>
      <c r="H40" s="132"/>
      <c r="I40" s="6"/>
    </row>
    <row r="41" spans="1:9" x14ac:dyDescent="0.2">
      <c r="A41" s="19"/>
      <c r="B41" s="5"/>
      <c r="C41" s="5"/>
      <c r="D41" s="5"/>
      <c r="E41" s="5"/>
      <c r="F41" s="145"/>
      <c r="G41" s="6"/>
      <c r="H41" s="132"/>
      <c r="I41" s="6"/>
    </row>
    <row r="42" spans="1:9" x14ac:dyDescent="0.2">
      <c r="A42" s="19"/>
      <c r="B42" s="5"/>
      <c r="C42" s="5"/>
      <c r="D42" s="5"/>
      <c r="E42" s="5"/>
      <c r="F42" s="145"/>
      <c r="G42" s="6"/>
      <c r="H42" s="132"/>
      <c r="I42" s="6"/>
    </row>
    <row r="43" spans="1:9" x14ac:dyDescent="0.2">
      <c r="A43" s="19"/>
      <c r="B43" s="5"/>
      <c r="C43" s="5"/>
      <c r="D43" s="5"/>
      <c r="E43" s="5"/>
      <c r="F43" s="145"/>
      <c r="G43" s="6"/>
      <c r="H43" s="132"/>
      <c r="I43" s="6"/>
    </row>
    <row r="44" spans="1:9" x14ac:dyDescent="0.2">
      <c r="A44" s="19"/>
      <c r="B44" s="5"/>
      <c r="C44" s="5"/>
      <c r="D44" s="5"/>
      <c r="E44" s="5"/>
      <c r="F44" s="145"/>
      <c r="G44" s="6"/>
      <c r="H44" s="132"/>
      <c r="I44" s="6"/>
    </row>
    <row r="45" spans="1:9" x14ac:dyDescent="0.2">
      <c r="A45" s="19"/>
      <c r="B45" s="5"/>
      <c r="C45" s="5"/>
      <c r="D45" s="5"/>
      <c r="E45" s="5"/>
      <c r="F45" s="145"/>
      <c r="G45" s="6"/>
      <c r="H45" s="132"/>
      <c r="I45" s="6"/>
    </row>
    <row r="46" spans="1:9" x14ac:dyDescent="0.2">
      <c r="A46" s="19"/>
      <c r="B46" s="5"/>
      <c r="C46" s="5"/>
      <c r="D46" s="5"/>
      <c r="E46" s="5"/>
      <c r="F46" s="145"/>
      <c r="G46" s="6"/>
      <c r="H46" s="132"/>
      <c r="I46" s="6"/>
    </row>
    <row r="47" spans="1:9" x14ac:dyDescent="0.2">
      <c r="A47" s="20"/>
      <c r="B47" s="11"/>
      <c r="C47" s="11"/>
      <c r="D47" s="11"/>
      <c r="E47" s="11"/>
      <c r="F47" s="146"/>
      <c r="G47" s="12"/>
      <c r="H47" s="134"/>
      <c r="I47" s="12"/>
    </row>
    <row r="48" spans="1:9" x14ac:dyDescent="0.2">
      <c r="A48" s="19"/>
      <c r="B48" s="5"/>
      <c r="C48" s="5"/>
      <c r="D48" s="5"/>
      <c r="E48" s="5"/>
      <c r="F48" s="145"/>
      <c r="G48" s="6"/>
      <c r="H48" s="132"/>
      <c r="I48" s="6"/>
    </row>
    <row r="49" spans="1:9" x14ac:dyDescent="0.2">
      <c r="A49" s="19"/>
      <c r="B49" s="5"/>
      <c r="C49" s="5"/>
      <c r="D49" s="5"/>
      <c r="E49" s="5"/>
      <c r="F49" s="145"/>
      <c r="G49" s="6"/>
      <c r="H49" s="132"/>
      <c r="I49" s="6"/>
    </row>
    <row r="50" spans="1:9" x14ac:dyDescent="0.2">
      <c r="A50" s="19"/>
      <c r="B50" s="5"/>
      <c r="C50" s="5"/>
      <c r="D50" s="5"/>
      <c r="E50" s="5"/>
      <c r="F50" s="145"/>
      <c r="G50" s="6"/>
      <c r="H50" s="132"/>
      <c r="I50" s="6"/>
    </row>
    <row r="51" spans="1:9" x14ac:dyDescent="0.2">
      <c r="A51" s="19"/>
      <c r="B51" s="5"/>
      <c r="C51" s="5"/>
      <c r="D51" s="5"/>
      <c r="E51" s="5"/>
      <c r="F51" s="145"/>
      <c r="G51" s="6"/>
      <c r="H51" s="132"/>
      <c r="I51" s="6"/>
    </row>
    <row r="52" spans="1:9" x14ac:dyDescent="0.2">
      <c r="A52" s="19"/>
      <c r="B52" s="5"/>
      <c r="C52" s="5"/>
      <c r="D52" s="5"/>
      <c r="E52" s="5"/>
      <c r="F52" s="145"/>
      <c r="G52" s="6"/>
      <c r="H52" s="132"/>
      <c r="I52" s="6"/>
    </row>
    <row r="53" spans="1:9" x14ac:dyDescent="0.2">
      <c r="A53" s="19"/>
      <c r="B53" s="11"/>
      <c r="C53" s="11"/>
      <c r="D53" s="11"/>
      <c r="E53" s="11"/>
      <c r="F53" s="146"/>
      <c r="G53" s="12"/>
      <c r="H53" s="134"/>
      <c r="I53" s="12"/>
    </row>
    <row r="54" spans="1:9" x14ac:dyDescent="0.2">
      <c r="A54" s="19"/>
      <c r="B54" s="11"/>
      <c r="C54" s="11"/>
      <c r="D54" s="11"/>
      <c r="E54" s="11"/>
      <c r="F54" s="146"/>
      <c r="G54" s="12"/>
      <c r="H54" s="132"/>
      <c r="I54" s="12"/>
    </row>
    <row r="55" spans="1:9" x14ac:dyDescent="0.2">
      <c r="A55" s="19"/>
      <c r="B55" s="5"/>
      <c r="C55" s="5"/>
      <c r="D55" s="5"/>
      <c r="E55" s="5"/>
      <c r="F55" s="145"/>
      <c r="G55" s="6"/>
      <c r="H55" s="132"/>
      <c r="I55" s="6"/>
    </row>
    <row r="56" spans="1:9" x14ac:dyDescent="0.2">
      <c r="A56" s="19"/>
      <c r="B56" s="5"/>
      <c r="C56" s="5"/>
      <c r="D56" s="5"/>
      <c r="E56" s="5"/>
      <c r="F56" s="145"/>
      <c r="G56" s="6"/>
      <c r="H56" s="132"/>
      <c r="I56" s="6"/>
    </row>
    <row r="57" spans="1:9" x14ac:dyDescent="0.2">
      <c r="A57" s="19"/>
      <c r="B57" s="11"/>
      <c r="C57" s="11"/>
      <c r="D57" s="11"/>
      <c r="E57" s="11"/>
      <c r="F57" s="146"/>
      <c r="G57" s="12"/>
      <c r="H57" s="132"/>
      <c r="I57" s="12"/>
    </row>
    <row r="58" spans="1:9" x14ac:dyDescent="0.2">
      <c r="A58" s="19"/>
      <c r="B58" s="11"/>
      <c r="C58" s="5"/>
      <c r="D58" s="5"/>
      <c r="E58" s="5"/>
      <c r="F58" s="145"/>
      <c r="G58" s="6"/>
      <c r="H58" s="132"/>
      <c r="I58" s="6"/>
    </row>
    <row r="59" spans="1:9" x14ac:dyDescent="0.2">
      <c r="A59" s="19"/>
      <c r="B59" s="11"/>
      <c r="C59" s="11"/>
      <c r="D59" s="11"/>
      <c r="E59" s="11"/>
      <c r="F59" s="146"/>
      <c r="G59" s="12"/>
      <c r="H59" s="134"/>
      <c r="I59" s="12"/>
    </row>
    <row r="60" spans="1:9" x14ac:dyDescent="0.2">
      <c r="A60" s="21"/>
      <c r="B60" s="5"/>
      <c r="C60" s="5"/>
      <c r="D60" s="5"/>
      <c r="E60" s="5"/>
      <c r="F60" s="145"/>
      <c r="G60" s="6"/>
      <c r="H60" s="132"/>
      <c r="I60" s="6"/>
    </row>
    <row r="61" spans="1:9" x14ac:dyDescent="0.2">
      <c r="A61" s="21"/>
      <c r="B61" s="5"/>
      <c r="C61" s="5"/>
      <c r="D61" s="5"/>
      <c r="E61" s="5"/>
      <c r="F61" s="145"/>
      <c r="G61" s="6"/>
      <c r="H61" s="132"/>
      <c r="I61" s="6"/>
    </row>
    <row r="62" spans="1:9" x14ac:dyDescent="0.2">
      <c r="A62" s="21"/>
      <c r="B62" s="5"/>
      <c r="C62" s="5"/>
      <c r="D62" s="5"/>
      <c r="E62" s="5"/>
      <c r="F62" s="145"/>
      <c r="G62" s="6"/>
      <c r="H62" s="132"/>
      <c r="I62" s="6"/>
    </row>
    <row r="63" spans="1:9" x14ac:dyDescent="0.2">
      <c r="A63" s="21"/>
      <c r="B63" s="5"/>
      <c r="C63" s="5"/>
      <c r="D63" s="5"/>
      <c r="E63" s="5"/>
      <c r="F63" s="145"/>
      <c r="G63" s="6"/>
      <c r="H63" s="132"/>
      <c r="I63" s="6"/>
    </row>
    <row r="64" spans="1:9" x14ac:dyDescent="0.2">
      <c r="A64" s="22"/>
      <c r="B64" s="11"/>
      <c r="C64" s="11"/>
      <c r="D64" s="11"/>
      <c r="E64" s="11"/>
      <c r="F64" s="146"/>
      <c r="G64" s="12"/>
      <c r="H64" s="134"/>
      <c r="I64" s="12"/>
    </row>
    <row r="65" spans="1:9" x14ac:dyDescent="0.2">
      <c r="A65" s="21"/>
      <c r="B65" s="5"/>
      <c r="C65" s="5"/>
      <c r="D65" s="5"/>
      <c r="E65" s="5"/>
      <c r="F65" s="145"/>
      <c r="G65" s="6"/>
      <c r="H65" s="132"/>
      <c r="I65" s="6"/>
    </row>
    <row r="66" spans="1:9" x14ac:dyDescent="0.2">
      <c r="A66" s="21"/>
      <c r="B66" s="5"/>
      <c r="C66" s="5"/>
      <c r="D66" s="5"/>
      <c r="E66" s="5"/>
      <c r="F66" s="145"/>
      <c r="G66" s="6"/>
      <c r="H66" s="132"/>
      <c r="I66" s="6"/>
    </row>
    <row r="67" spans="1:9" x14ac:dyDescent="0.2">
      <c r="A67" s="22"/>
      <c r="B67" s="11"/>
      <c r="C67" s="11"/>
      <c r="D67" s="11"/>
      <c r="E67" s="11"/>
      <c r="F67" s="146"/>
      <c r="G67" s="12"/>
      <c r="H67" s="134"/>
      <c r="I67" s="12"/>
    </row>
    <row r="68" spans="1:9" x14ac:dyDescent="0.2">
      <c r="A68" s="21"/>
      <c r="B68" s="5"/>
      <c r="C68" s="5"/>
      <c r="D68" s="5"/>
      <c r="E68" s="5"/>
      <c r="F68" s="145"/>
      <c r="G68" s="6"/>
      <c r="H68" s="132"/>
      <c r="I68" s="6"/>
    </row>
    <row r="69" spans="1:9" x14ac:dyDescent="0.2">
      <c r="A69" s="21"/>
      <c r="B69" s="5"/>
      <c r="C69" s="5"/>
      <c r="D69" s="5"/>
      <c r="E69" s="5"/>
      <c r="F69" s="145"/>
      <c r="G69" s="6"/>
      <c r="H69" s="132"/>
      <c r="I69" s="6"/>
    </row>
    <row r="70" spans="1:9" x14ac:dyDescent="0.2">
      <c r="A70" s="11"/>
      <c r="B70" s="1"/>
      <c r="C70" s="11"/>
      <c r="D70" s="11"/>
      <c r="E70" s="11"/>
      <c r="F70" s="146"/>
      <c r="G70" s="12"/>
      <c r="H70" s="134"/>
      <c r="I70" s="12"/>
    </row>
    <row r="71" spans="1:9" x14ac:dyDescent="0.2">
      <c r="A71" s="19"/>
      <c r="B71" s="1"/>
      <c r="C71" s="1"/>
      <c r="D71" s="1"/>
      <c r="E71" s="1"/>
      <c r="F71" s="147"/>
      <c r="G71" s="3"/>
      <c r="H71" s="135"/>
      <c r="I71" s="3"/>
    </row>
  </sheetData>
  <mergeCells count="26">
    <mergeCell ref="A6:E6"/>
    <mergeCell ref="A5:G5"/>
    <mergeCell ref="F1:H1"/>
    <mergeCell ref="F2:F3"/>
    <mergeCell ref="G2:H2"/>
    <mergeCell ref="A1:E3"/>
    <mergeCell ref="A4:G4"/>
    <mergeCell ref="A7:E7"/>
    <mergeCell ref="A16:E16"/>
    <mergeCell ref="A15:E15"/>
    <mergeCell ref="A12:E12"/>
    <mergeCell ref="A13:E13"/>
    <mergeCell ref="A14:E14"/>
    <mergeCell ref="A25:E25"/>
    <mergeCell ref="A8:E8"/>
    <mergeCell ref="A9:E9"/>
    <mergeCell ref="A10:E10"/>
    <mergeCell ref="A11:E11"/>
    <mergeCell ref="A24:E24"/>
    <mergeCell ref="A23:E23"/>
    <mergeCell ref="A22:E22"/>
    <mergeCell ref="A18:E18"/>
    <mergeCell ref="A17:E17"/>
    <mergeCell ref="A19:E19"/>
    <mergeCell ref="A20:E20"/>
    <mergeCell ref="A21:E21"/>
  </mergeCells>
  <phoneticPr fontId="4" type="noConversion"/>
  <pageMargins left="0.59055118110236227" right="0.59055118110236227" top="0.98425196850393704" bottom="0.39370078740157483" header="0.51181102362204722" footer="0.51181102362204722"/>
  <pageSetup paperSize="9" scale="77" orientation="portrait" r:id="rId1"/>
  <headerFooter alignWithMargins="0">
    <oddHeader xml:space="preserve">&amp;C&amp;"Arial CE,Félkövér"Feladatalapú támogatások a 2018. évre&amp;"Arial CE,Normál"
&amp;R2.4 sz. melléklet
...../2020. (....) Egyek.Önk.
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14</vt:i4>
      </vt:variant>
    </vt:vector>
  </HeadingPairs>
  <TitlesOfParts>
    <vt:vector size="42" baseType="lpstr">
      <vt:lpstr>bevétel 2.m. </vt:lpstr>
      <vt:lpstr>Bevétel Önkormányzat 2.1 </vt:lpstr>
      <vt:lpstr>Bev.étel Önk.köt.fel. 2.1)a</vt:lpstr>
      <vt:lpstr>Bevétel önk.önként váll.2.1)b</vt:lpstr>
      <vt:lpstr>Bevétel Polg.Hivatal 2.2 </vt:lpstr>
      <vt:lpstr>Bev. Polg.Hiv. köt.fel. 2.2)a</vt:lpstr>
      <vt:lpstr>Bevétel Könyvtár-Műv.h. 2.3. </vt:lpstr>
      <vt:lpstr>Bev.Könyvt.Műv.h.köt.fel.2.3)a</vt:lpstr>
      <vt:lpstr>Támogatás 2.4</vt:lpstr>
      <vt:lpstr>Kiadások3</vt:lpstr>
      <vt:lpstr>önkormányzat kiadásai 3.1. </vt:lpstr>
      <vt:lpstr>önk.köt.fel.kiadásai 3.1.)a</vt:lpstr>
      <vt:lpstr>Önk.önként.váll.fel.kiad.3.1.)b</vt:lpstr>
      <vt:lpstr>Polg.Hivatal kiadásai 3.2</vt:lpstr>
      <vt:lpstr>Polg.Hivatal kiadásai 3.2)a</vt:lpstr>
      <vt:lpstr>Könyvtár és Műv.H. kiadásai 3.3</vt:lpstr>
      <vt:lpstr>Könyvtár és Műv.H. k 3.3)a</vt:lpstr>
      <vt:lpstr>Működési kiadások4</vt:lpstr>
      <vt:lpstr>Felhalmozás 5.mell.</vt:lpstr>
      <vt:lpstr>6. m.Többéves kih.</vt:lpstr>
      <vt:lpstr>Mérleg7 </vt:lpstr>
      <vt:lpstr>Előirányzat felh.8</vt:lpstr>
      <vt:lpstr>Közvetett tám.-k 9. </vt:lpstr>
      <vt:lpstr>mérleg 3 éves 10.m.</vt:lpstr>
      <vt:lpstr>Tartalék 11.</vt:lpstr>
      <vt:lpstr>Eu-s pály. 12.</vt:lpstr>
      <vt:lpstr>13. melléklet</vt:lpstr>
      <vt:lpstr>14.sz.mell.</vt:lpstr>
      <vt:lpstr>'Támogatás 2.4'!Nyomtatási_cím</vt:lpstr>
      <vt:lpstr>'Bev. Polg.Hiv. köt.fel. 2.2)a'!Nyomtatási_terület</vt:lpstr>
      <vt:lpstr>'Bev.Könyvt.Műv.h.köt.fel.2.3)a'!Nyomtatási_terület</vt:lpstr>
      <vt:lpstr>'bevétel 2.m. '!Nyomtatási_terület</vt:lpstr>
      <vt:lpstr>'Bevétel Polg.Hivatal 2.2 '!Nyomtatási_terület</vt:lpstr>
      <vt:lpstr>Kiadások3!Nyomtatási_terület</vt:lpstr>
      <vt:lpstr>'mérleg 3 éves 10.m.'!Nyomtatási_terület</vt:lpstr>
      <vt:lpstr>'Mérleg7 '!Nyomtatási_terület</vt:lpstr>
      <vt:lpstr>'önk.köt.fel.kiadásai 3.1.)a'!Nyomtatási_terület</vt:lpstr>
      <vt:lpstr>'önkormányzat kiadásai 3.1. '!Nyomtatási_terület</vt:lpstr>
      <vt:lpstr>'Polg.Hivatal kiadásai 3.2'!Nyomtatási_terület</vt:lpstr>
      <vt:lpstr>'Polg.Hivatal kiadásai 3.2)a'!Nyomtatási_terület</vt:lpstr>
      <vt:lpstr>'Támogatás 2.4'!Nyomtatási_terület</vt:lpstr>
      <vt:lpstr>'Tartalék 11.'!Nyomtatási_terület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2020-02-25T09:45:19Z</cp:lastPrinted>
  <dcterms:created xsi:type="dcterms:W3CDTF">1999-11-19T07:39:00Z</dcterms:created>
  <dcterms:modified xsi:type="dcterms:W3CDTF">2020-02-25T09:46:49Z</dcterms:modified>
</cp:coreProperties>
</file>