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60" yWindow="-60" windowWidth="15480" windowHeight="11100" tabRatio="599"/>
  </bookViews>
  <sheets>
    <sheet name="bevétel 1.m. " sheetId="163" r:id="rId1"/>
    <sheet name="Bevétel Önkormányzat 1.1 " sheetId="162" r:id="rId2"/>
    <sheet name="Bev.Önk.köt.ell.fel.1.1)a" sheetId="194" r:id="rId3"/>
    <sheet name="Bevétel Polg.Hivatal 1.2 " sheetId="159" r:id="rId4"/>
    <sheet name="Bev. Polg.H. köt.ell.fa 1.2)a" sheetId="158" r:id="rId5"/>
    <sheet name="Bevétel Könyvtár-Műv.h. 1.3" sheetId="157" r:id="rId6"/>
    <sheet name="Bev.Könyv.-Műv.h. köt.ell 1.3a " sheetId="156" r:id="rId7"/>
    <sheet name="Kiadások2" sheetId="71" r:id="rId8"/>
    <sheet name="önkormányzat kiadásai 2.1. " sheetId="165" r:id="rId9"/>
    <sheet name="önk.kiad.köt.fel.2.1)a" sheetId="195" r:id="rId10"/>
    <sheet name="Polg.Hivatal kiadásai 2.2" sheetId="73" r:id="rId11"/>
    <sheet name="Polg.Hiv.kiad.köt.fel.2.2)a" sheetId="197" r:id="rId12"/>
    <sheet name="Könyvtár és Műv.H. kiadásai 2.3" sheetId="83" r:id="rId13"/>
    <sheet name="Könyvtár és Műv.H.köt.fel.2.3)a" sheetId="198" r:id="rId14"/>
    <sheet name="Működési kiadások3" sheetId="72" r:id="rId15"/>
    <sheet name="Mérleg4" sheetId="186" r:id="rId16"/>
    <sheet name="Működési és felh. mérl.5" sheetId="154" r:id="rId17"/>
    <sheet name="Maradvány Önk_6_1_m_" sheetId="132" r:id="rId18"/>
    <sheet name="Maradvány Polg_Hiv_6_2_m_ " sheetId="133" r:id="rId19"/>
    <sheet name="Maradvány Tárkányi B_ 6_3_m" sheetId="134" r:id="rId20"/>
    <sheet name="részesedések 7.m." sheetId="203" r:id="rId21"/>
    <sheet name="Támogatás elsz.8.m." sheetId="180" r:id="rId22"/>
    <sheet name="Vagyonkim. Önkorm. 9.m. " sheetId="208" r:id="rId23"/>
    <sheet name="Adósságállomány Önk. 10.1.m." sheetId="150" r:id="rId24"/>
    <sheet name="Adósságállomány Polg.H 10.2.m. " sheetId="151" r:id="rId25"/>
    <sheet name="Adósságállomány Tárk. B.10.3.m." sheetId="152" r:id="rId26"/>
    <sheet name="Közvetett tám.11.m." sheetId="199" r:id="rId27"/>
    <sheet name="Pénzeszk_vál_ Önk_ 12.1.m_ " sheetId="145" r:id="rId28"/>
    <sheet name="Pénzeszk_vál_ Polg_ Hiv_12.2.m " sheetId="146" r:id="rId29"/>
    <sheet name="Pénzeszk_vál_ Tárkányi B_12.3.m" sheetId="147" r:id="rId30"/>
    <sheet name="Adósságot kel.13.mell." sheetId="202" r:id="rId31"/>
    <sheet name="Többéves kihat.14.mell." sheetId="210" r:id="rId32"/>
  </sheets>
  <definedNames>
    <definedName name="_xlnm._FilterDatabase" localSheetId="9" hidden="1">'önk.kiad.köt.fel.2.1)a'!$A$4:$K$393</definedName>
    <definedName name="_xlnm._FilterDatabase" localSheetId="8" hidden="1">'önkormányzat kiadásai 2.1. '!$A$4:$K$415</definedName>
    <definedName name="Excel_BuiltIn_Print_Area_6_1" localSheetId="4">#REF!</definedName>
    <definedName name="Excel_BuiltIn_Print_Area_6_1" localSheetId="6">#REF!</definedName>
    <definedName name="Excel_BuiltIn_Print_Area_6_1" localSheetId="2">#REF!</definedName>
    <definedName name="Excel_BuiltIn_Print_Area_6_1" localSheetId="0">#REF!</definedName>
    <definedName name="Excel_BuiltIn_Print_Area_6_1" localSheetId="5">#REF!</definedName>
    <definedName name="Excel_BuiltIn_Print_Area_6_1" localSheetId="1">#REF!</definedName>
    <definedName name="Excel_BuiltIn_Print_Area_6_1" localSheetId="3">#REF!</definedName>
    <definedName name="Excel_BuiltIn_Print_Area_6_1" localSheetId="13">#REF!</definedName>
    <definedName name="Excel_BuiltIn_Print_Area_6_1" localSheetId="26">#REF!</definedName>
    <definedName name="Excel_BuiltIn_Print_Area_6_1" localSheetId="17">#REF!</definedName>
    <definedName name="Excel_BuiltIn_Print_Area_6_1" localSheetId="18">#REF!</definedName>
    <definedName name="Excel_BuiltIn_Print_Area_6_1" localSheetId="19">#REF!</definedName>
    <definedName name="Excel_BuiltIn_Print_Area_6_1" localSheetId="15">#REF!</definedName>
    <definedName name="Excel_BuiltIn_Print_Area_6_1" localSheetId="16">#REF!</definedName>
    <definedName name="Excel_BuiltIn_Print_Area_6_1" localSheetId="9">#REF!</definedName>
    <definedName name="Excel_BuiltIn_Print_Area_6_1" localSheetId="27">#REF!</definedName>
    <definedName name="Excel_BuiltIn_Print_Area_6_1" localSheetId="28">#REF!</definedName>
    <definedName name="Excel_BuiltIn_Print_Area_6_1" localSheetId="29">#REF!</definedName>
    <definedName name="Excel_BuiltIn_Print_Area_6_1" localSheetId="11">#REF!</definedName>
    <definedName name="Excel_BuiltIn_Print_Area_6_1" localSheetId="20">#REF!</definedName>
    <definedName name="Excel_BuiltIn_Print_Area_6_1" localSheetId="22">#REF!</definedName>
    <definedName name="Excel_BuiltIn_Print_Area_6_1">#REF!</definedName>
    <definedName name="_xlnm.Print_Area" localSheetId="4">'Bev. Polg.H. köt.ell.fa 1.2)a'!$A$1:$G$52</definedName>
    <definedName name="_xlnm.Print_Area" localSheetId="2">'Bev.Önk.köt.ell.fel.1.1)a'!$A$1:$G$233</definedName>
    <definedName name="_xlnm.Print_Area" localSheetId="0">'bevétel 1.m. '!$A$1:$Q$46</definedName>
    <definedName name="_xlnm.Print_Area" localSheetId="1">'Bevétel Önkormányzat 1.1 '!$A$1:$G$250</definedName>
    <definedName name="_xlnm.Print_Area" localSheetId="3">'Bevétel Polg.Hivatal 1.2 '!$A$1:$G$51</definedName>
    <definedName name="_xlnm.Print_Area" localSheetId="7">Kiadások2!$A$1:$Q$27</definedName>
    <definedName name="_xlnm.Print_Area" localSheetId="26">'Közvetett tám.11.m.'!$A$1:$E$37</definedName>
    <definedName name="_xlnm.Print_Area" localSheetId="17">'Maradvány Önk_6_1_m_'!$A$1:$D$30</definedName>
    <definedName name="_xlnm.Print_Area" localSheetId="18">'Maradvány Polg_Hiv_6_2_m_ '!$A$1:$D$28</definedName>
    <definedName name="_xlnm.Print_Area" localSheetId="19">'Maradvány Tárkányi B_ 6_3_m'!$A$1:$D$30</definedName>
    <definedName name="_xlnm.Print_Area" localSheetId="14">'Működési kiadások3'!$A$1:$Q$41</definedName>
    <definedName name="_xlnm.Print_Area" localSheetId="9">'önk.kiad.köt.fel.2.1)a'!$A$1:$F$394</definedName>
    <definedName name="_xlnm.Print_Area" localSheetId="8">'önkormányzat kiadásai 2.1. '!$A$1:$F$416</definedName>
    <definedName name="_xlnm.Print_Area" localSheetId="11">'Polg.Hiv.kiad.köt.fel.2.2)a'!$A$1:$F$52</definedName>
    <definedName name="_xlnm.Print_Area" localSheetId="10">'Polg.Hivatal kiadásai 2.2'!$A$1:$F$52</definedName>
    <definedName name="_xlnm.Print_Area" localSheetId="21">'Támogatás elsz.8.m.'!$A$1:$F$55</definedName>
    <definedName name="_xlnm.Print_Area" localSheetId="22">'Vagyonkim. Önkorm. 9.m. '!$A$1:$J$123</definedName>
  </definedNames>
  <calcPr calcId="145621"/>
</workbook>
</file>

<file path=xl/calcChain.xml><?xml version="1.0" encoding="utf-8"?>
<calcChain xmlns="http://schemas.openxmlformats.org/spreadsheetml/2006/main">
  <c r="E18" i="210" l="1"/>
  <c r="F18" i="210"/>
  <c r="G18" i="210"/>
  <c r="H18" i="210"/>
  <c r="I18" i="210"/>
  <c r="D18" i="210"/>
  <c r="J24" i="210"/>
  <c r="J20" i="210"/>
  <c r="J21" i="210"/>
  <c r="J18" i="210" s="1"/>
  <c r="J22" i="210"/>
  <c r="J23" i="210"/>
  <c r="J25" i="210"/>
  <c r="J26" i="210"/>
  <c r="J19" i="210"/>
  <c r="I16" i="210"/>
  <c r="J16" i="210" s="1"/>
  <c r="D7" i="210"/>
  <c r="I17" i="210"/>
  <c r="I15" i="210"/>
  <c r="J15" i="210" s="1"/>
  <c r="I14" i="210"/>
  <c r="I13" i="210"/>
  <c r="J13" i="210" s="1"/>
  <c r="I12" i="210"/>
  <c r="I11" i="210"/>
  <c r="I10" i="210"/>
  <c r="J10" i="210" s="1"/>
  <c r="I9" i="210"/>
  <c r="J9" i="210" s="1"/>
  <c r="I8" i="210"/>
  <c r="J11" i="210"/>
  <c r="E7" i="210"/>
  <c r="J49" i="210"/>
  <c r="J48" i="210"/>
  <c r="J47" i="210"/>
  <c r="J46" i="210"/>
  <c r="J45" i="210"/>
  <c r="J44" i="210"/>
  <c r="J43" i="210"/>
  <c r="J42" i="210"/>
  <c r="J41" i="210"/>
  <c r="J40" i="210"/>
  <c r="J39" i="210"/>
  <c r="J38" i="210"/>
  <c r="J37" i="210"/>
  <c r="J36" i="210"/>
  <c r="J35" i="210"/>
  <c r="J34" i="210"/>
  <c r="J33" i="210"/>
  <c r="J32" i="210"/>
  <c r="J31" i="210"/>
  <c r="J30" i="210"/>
  <c r="J29" i="210"/>
  <c r="J28" i="210"/>
  <c r="I27" i="210"/>
  <c r="H27" i="210"/>
  <c r="G27" i="210"/>
  <c r="F27" i="210"/>
  <c r="D27" i="210"/>
  <c r="J17" i="210"/>
  <c r="J14" i="210"/>
  <c r="J12" i="210"/>
  <c r="J8" i="210"/>
  <c r="H7" i="210"/>
  <c r="G7" i="210"/>
  <c r="F7" i="210"/>
  <c r="J27" i="210" l="1"/>
  <c r="G50" i="210"/>
  <c r="I7" i="210"/>
  <c r="I50" i="210" s="1"/>
  <c r="F50" i="210"/>
  <c r="J7" i="210"/>
  <c r="H50" i="210"/>
  <c r="D50" i="210"/>
  <c r="J50" i="210" l="1"/>
  <c r="M26" i="154"/>
  <c r="N16" i="154"/>
  <c r="C41" i="156"/>
  <c r="D40" i="156"/>
  <c r="D41" i="156" s="1"/>
  <c r="E40" i="156"/>
  <c r="E41" i="156" s="1"/>
  <c r="C40" i="156"/>
  <c r="C39" i="156"/>
  <c r="F31" i="156" l="1"/>
  <c r="P15" i="71" l="1"/>
  <c r="G15" i="146"/>
  <c r="F59" i="186"/>
  <c r="E59" i="186"/>
  <c r="D59" i="186"/>
  <c r="F35" i="186"/>
  <c r="E35" i="186"/>
  <c r="H30" i="202" l="1"/>
  <c r="J5" i="202"/>
  <c r="J23" i="202" l="1"/>
  <c r="J26" i="202"/>
  <c r="I25" i="154" l="1"/>
  <c r="I28" i="154" s="1"/>
  <c r="I16" i="154"/>
  <c r="H16" i="154"/>
  <c r="H25" i="154"/>
  <c r="H28" i="154" s="1"/>
  <c r="G25" i="154"/>
  <c r="G16" i="154"/>
  <c r="G28" i="154"/>
  <c r="H30" i="154" l="1"/>
  <c r="F93" i="208"/>
  <c r="E93" i="208"/>
  <c r="F86" i="208"/>
  <c r="F122" i="208" s="1"/>
  <c r="E86" i="208"/>
  <c r="E122" i="208" s="1"/>
  <c r="H70" i="208"/>
  <c r="G70" i="208"/>
  <c r="F70" i="208"/>
  <c r="E70" i="208"/>
  <c r="H65" i="208"/>
  <c r="G65" i="208"/>
  <c r="F65" i="208"/>
  <c r="E65" i="208"/>
  <c r="H56" i="208"/>
  <c r="G56" i="208"/>
  <c r="F56" i="208"/>
  <c r="E56" i="208"/>
  <c r="H51" i="208"/>
  <c r="G51" i="208"/>
  <c r="F51" i="208"/>
  <c r="E51" i="208"/>
  <c r="H46" i="208"/>
  <c r="G46" i="208"/>
  <c r="F46" i="208"/>
  <c r="E46" i="208"/>
  <c r="H45" i="208"/>
  <c r="G45" i="208"/>
  <c r="F45" i="208"/>
  <c r="E45" i="208"/>
  <c r="H40" i="208"/>
  <c r="G40" i="208"/>
  <c r="F40" i="208"/>
  <c r="E40" i="208"/>
  <c r="H35" i="208"/>
  <c r="G35" i="208"/>
  <c r="F35" i="208"/>
  <c r="E35" i="208"/>
  <c r="H30" i="208"/>
  <c r="G30" i="208"/>
  <c r="F30" i="208"/>
  <c r="E30" i="208"/>
  <c r="H25" i="208"/>
  <c r="G25" i="208"/>
  <c r="F25" i="208"/>
  <c r="E25" i="208"/>
  <c r="H20" i="208"/>
  <c r="G20" i="208"/>
  <c r="F20" i="208"/>
  <c r="E20" i="208"/>
  <c r="H19" i="208"/>
  <c r="H62" i="208" s="1"/>
  <c r="H71" i="208" s="1"/>
  <c r="G19" i="208"/>
  <c r="G62" i="208" s="1"/>
  <c r="G71" i="208" s="1"/>
  <c r="F19" i="208"/>
  <c r="E19" i="208"/>
  <c r="E62" i="208" s="1"/>
  <c r="E71" i="208" s="1"/>
  <c r="F18" i="208"/>
  <c r="F62" i="208" l="1"/>
  <c r="F71" i="208" s="1"/>
  <c r="E24" i="154" l="1"/>
  <c r="E60" i="186" l="1"/>
  <c r="F60" i="186"/>
  <c r="D60" i="186"/>
  <c r="E57" i="186"/>
  <c r="F57" i="186"/>
  <c r="D57" i="186"/>
  <c r="E55" i="186"/>
  <c r="F55" i="186"/>
  <c r="E56" i="186"/>
  <c r="F56" i="186"/>
  <c r="D56" i="186"/>
  <c r="D55" i="186"/>
  <c r="E54" i="186"/>
  <c r="F54" i="186"/>
  <c r="D54" i="186"/>
  <c r="E53" i="186"/>
  <c r="F53" i="186"/>
  <c r="D53" i="186"/>
  <c r="E51" i="186"/>
  <c r="F51" i="186"/>
  <c r="D51" i="186"/>
  <c r="E50" i="186"/>
  <c r="F50" i="186"/>
  <c r="D50" i="186"/>
  <c r="E49" i="186"/>
  <c r="F49" i="186"/>
  <c r="D49" i="186"/>
  <c r="E48" i="186"/>
  <c r="F48" i="186"/>
  <c r="D48" i="186"/>
  <c r="E46" i="186"/>
  <c r="F46" i="186"/>
  <c r="E47" i="186"/>
  <c r="F47" i="186"/>
  <c r="D47" i="186"/>
  <c r="D46" i="186"/>
  <c r="G38" i="186"/>
  <c r="C58" i="186"/>
  <c r="C52" i="186"/>
  <c r="E31" i="186"/>
  <c r="F31" i="186"/>
  <c r="D31" i="186"/>
  <c r="C31" i="186"/>
  <c r="E44" i="180"/>
  <c r="D35" i="180"/>
  <c r="E35" i="180"/>
  <c r="C35" i="180"/>
  <c r="C24" i="180"/>
  <c r="F10" i="180"/>
  <c r="F11" i="180"/>
  <c r="F12" i="180"/>
  <c r="F15" i="180"/>
  <c r="F13" i="180"/>
  <c r="F14" i="180"/>
  <c r="F16" i="180"/>
  <c r="F17" i="180"/>
  <c r="D18" i="180"/>
  <c r="D24" i="180" s="1"/>
  <c r="E18" i="180"/>
  <c r="E24" i="180" s="1"/>
  <c r="C18" i="180"/>
  <c r="F10" i="203"/>
  <c r="F11" i="203"/>
  <c r="F23" i="203" s="1"/>
  <c r="F12" i="203"/>
  <c r="F7" i="203"/>
  <c r="E48" i="197"/>
  <c r="F48" i="197" s="1"/>
  <c r="E47" i="197"/>
  <c r="D47" i="197"/>
  <c r="C47" i="197"/>
  <c r="E46" i="197"/>
  <c r="D46" i="197"/>
  <c r="C46" i="197"/>
  <c r="E45" i="197"/>
  <c r="D45" i="197"/>
  <c r="C45" i="197"/>
  <c r="F44" i="197"/>
  <c r="E44" i="197"/>
  <c r="D44" i="197"/>
  <c r="C44" i="197"/>
  <c r="E43" i="197"/>
  <c r="D43" i="197"/>
  <c r="C43" i="197"/>
  <c r="E42" i="197"/>
  <c r="F42" i="197" s="1"/>
  <c r="D42" i="197"/>
  <c r="C42" i="197"/>
  <c r="E41" i="197"/>
  <c r="D41" i="197"/>
  <c r="C41" i="197"/>
  <c r="E40" i="197"/>
  <c r="F40" i="197" s="1"/>
  <c r="D40" i="197"/>
  <c r="C40" i="197"/>
  <c r="E39" i="197"/>
  <c r="F39" i="197" s="1"/>
  <c r="D39" i="197"/>
  <c r="C39" i="197"/>
  <c r="E38" i="197"/>
  <c r="F38" i="197" s="1"/>
  <c r="D38" i="197"/>
  <c r="C38" i="197"/>
  <c r="E37" i="197"/>
  <c r="F37" i="197" s="1"/>
  <c r="D37" i="197"/>
  <c r="C37" i="197"/>
  <c r="F29" i="197"/>
  <c r="F28" i="197"/>
  <c r="F27" i="197"/>
  <c r="E26" i="197"/>
  <c r="F26" i="197" s="1"/>
  <c r="D26" i="197"/>
  <c r="D48" i="197" s="1"/>
  <c r="C26" i="197"/>
  <c r="C48" i="197" s="1"/>
  <c r="F20" i="197"/>
  <c r="F18" i="197"/>
  <c r="F17" i="197"/>
  <c r="F16" i="197"/>
  <c r="E15" i="197"/>
  <c r="F15" i="197" s="1"/>
  <c r="D15" i="197"/>
  <c r="C15" i="197"/>
  <c r="F11" i="197"/>
  <c r="F9" i="197"/>
  <c r="F7" i="197"/>
  <c r="F6" i="197"/>
  <c r="F5" i="197"/>
  <c r="E414" i="165"/>
  <c r="F414" i="165" s="1"/>
  <c r="D414" i="165"/>
  <c r="C414" i="165"/>
  <c r="E413" i="165"/>
  <c r="F413" i="165" s="1"/>
  <c r="D413" i="165"/>
  <c r="C413" i="165"/>
  <c r="E412" i="165"/>
  <c r="F412" i="165" s="1"/>
  <c r="D412" i="165"/>
  <c r="C412" i="165"/>
  <c r="E411" i="165"/>
  <c r="F411" i="165" s="1"/>
  <c r="D411" i="165"/>
  <c r="C411" i="165"/>
  <c r="C415" i="165" s="1"/>
  <c r="E410" i="165"/>
  <c r="D410" i="165"/>
  <c r="C410" i="165"/>
  <c r="E409" i="165"/>
  <c r="F409" i="165" s="1"/>
  <c r="D409" i="165"/>
  <c r="C409" i="165"/>
  <c r="E408" i="165"/>
  <c r="F408" i="165" s="1"/>
  <c r="D408" i="165"/>
  <c r="C408" i="165"/>
  <c r="E407" i="165"/>
  <c r="F407" i="165" s="1"/>
  <c r="D407" i="165"/>
  <c r="C407" i="165"/>
  <c r="E406" i="165"/>
  <c r="F406" i="165" s="1"/>
  <c r="D406" i="165"/>
  <c r="C406" i="165"/>
  <c r="E405" i="165"/>
  <c r="E415" i="165" s="1"/>
  <c r="F415" i="165" s="1"/>
  <c r="D405" i="165"/>
  <c r="D415" i="165" s="1"/>
  <c r="C405" i="165"/>
  <c r="E404" i="165"/>
  <c r="F404" i="165" s="1"/>
  <c r="D404" i="165"/>
  <c r="C404" i="165"/>
  <c r="F403" i="165"/>
  <c r="F396" i="165"/>
  <c r="E393" i="165"/>
  <c r="F393" i="165" s="1"/>
  <c r="D393" i="165"/>
  <c r="C393" i="165"/>
  <c r="F385" i="165"/>
  <c r="E382" i="165"/>
  <c r="F382" i="165" s="1"/>
  <c r="D382" i="165"/>
  <c r="C382" i="165"/>
  <c r="F376" i="165"/>
  <c r="F375" i="165"/>
  <c r="F374" i="165"/>
  <c r="E371" i="165"/>
  <c r="F371" i="165" s="1"/>
  <c r="D371" i="165"/>
  <c r="C371" i="165"/>
  <c r="F363" i="165"/>
  <c r="F362" i="165"/>
  <c r="F361" i="165"/>
  <c r="F359" i="165"/>
  <c r="E359" i="165"/>
  <c r="D359" i="165"/>
  <c r="C359" i="165"/>
  <c r="F353" i="165"/>
  <c r="E348" i="165"/>
  <c r="F348" i="165" s="1"/>
  <c r="D348" i="165"/>
  <c r="C348" i="165"/>
  <c r="F341" i="165"/>
  <c r="E337" i="165"/>
  <c r="F337" i="165" s="1"/>
  <c r="D337" i="165"/>
  <c r="C337" i="165"/>
  <c r="F330" i="165"/>
  <c r="E326" i="165"/>
  <c r="F326" i="165" s="1"/>
  <c r="D326" i="165"/>
  <c r="C326" i="165"/>
  <c r="F318" i="165"/>
  <c r="F315" i="165"/>
  <c r="E315" i="165"/>
  <c r="D315" i="165"/>
  <c r="C315" i="165"/>
  <c r="F309" i="165"/>
  <c r="F307" i="165"/>
  <c r="F305" i="165"/>
  <c r="E304" i="165"/>
  <c r="D304" i="165"/>
  <c r="C304" i="165"/>
  <c r="E293" i="165"/>
  <c r="F293" i="165" s="1"/>
  <c r="D293" i="165"/>
  <c r="C293" i="165"/>
  <c r="F289" i="165"/>
  <c r="F285" i="165"/>
  <c r="F282" i="165"/>
  <c r="E282" i="165"/>
  <c r="D282" i="165"/>
  <c r="C282" i="165"/>
  <c r="F276" i="165"/>
  <c r="E271" i="165"/>
  <c r="D271" i="165"/>
  <c r="F271" i="165" s="1"/>
  <c r="C271" i="165"/>
  <c r="F265" i="165"/>
  <c r="E259" i="165"/>
  <c r="F259" i="165" s="1"/>
  <c r="D259" i="165"/>
  <c r="C259" i="165"/>
  <c r="F256" i="165"/>
  <c r="E248" i="165"/>
  <c r="F248" i="165" s="1"/>
  <c r="D248" i="165"/>
  <c r="C248" i="165"/>
  <c r="F240" i="165"/>
  <c r="E237" i="165"/>
  <c r="D237" i="165"/>
  <c r="C237" i="165"/>
  <c r="E226" i="165"/>
  <c r="F226" i="165" s="1"/>
  <c r="D226" i="165"/>
  <c r="C226" i="165"/>
  <c r="F220" i="165"/>
  <c r="F218" i="165"/>
  <c r="E215" i="165"/>
  <c r="F215" i="165" s="1"/>
  <c r="D215" i="165"/>
  <c r="C215" i="165"/>
  <c r="F209" i="165"/>
  <c r="E204" i="165"/>
  <c r="F204" i="165" s="1"/>
  <c r="D204" i="165"/>
  <c r="C204" i="165"/>
  <c r="F196" i="165"/>
  <c r="F195" i="165"/>
  <c r="F194" i="165"/>
  <c r="E193" i="165"/>
  <c r="F193" i="165" s="1"/>
  <c r="D193" i="165"/>
  <c r="C193" i="165"/>
  <c r="F189" i="165"/>
  <c r="F187" i="165"/>
  <c r="F185" i="165"/>
  <c r="F184" i="165"/>
  <c r="F183" i="165"/>
  <c r="E182" i="165"/>
  <c r="F182" i="165" s="1"/>
  <c r="D182" i="165"/>
  <c r="C182" i="165"/>
  <c r="F176" i="165"/>
  <c r="F174" i="165"/>
  <c r="F171" i="165"/>
  <c r="E171" i="165"/>
  <c r="D171" i="165"/>
  <c r="C171" i="165"/>
  <c r="F167" i="165"/>
  <c r="F163" i="165"/>
  <c r="E159" i="165"/>
  <c r="F159" i="165" s="1"/>
  <c r="D159" i="165"/>
  <c r="C159" i="165"/>
  <c r="F153" i="165"/>
  <c r="E148" i="165"/>
  <c r="F148" i="165" s="1"/>
  <c r="D148" i="165"/>
  <c r="C148" i="165"/>
  <c r="F142" i="165"/>
  <c r="F137" i="165"/>
  <c r="E137" i="165"/>
  <c r="D137" i="165"/>
  <c r="C137" i="165"/>
  <c r="F131" i="165"/>
  <c r="F129" i="165"/>
  <c r="E126" i="165"/>
  <c r="F126" i="165" s="1"/>
  <c r="D126" i="165"/>
  <c r="C126" i="165"/>
  <c r="F118" i="165"/>
  <c r="E115" i="165"/>
  <c r="F115" i="165" s="1"/>
  <c r="D115" i="165"/>
  <c r="C115" i="165"/>
  <c r="F112" i="165"/>
  <c r="F111" i="165"/>
  <c r="F107" i="165"/>
  <c r="E104" i="165"/>
  <c r="F104" i="165" s="1"/>
  <c r="D104" i="165"/>
  <c r="C104" i="165"/>
  <c r="F100" i="165"/>
  <c r="F96" i="165"/>
  <c r="F95" i="165"/>
  <c r="F94" i="165"/>
  <c r="E93" i="165"/>
  <c r="F93" i="165" s="1"/>
  <c r="D93" i="165"/>
  <c r="C93" i="165"/>
  <c r="F89" i="165"/>
  <c r="F87" i="165"/>
  <c r="F85" i="165"/>
  <c r="F84" i="165"/>
  <c r="F83" i="165"/>
  <c r="E81" i="165"/>
  <c r="F81" i="165" s="1"/>
  <c r="D81" i="165"/>
  <c r="C81" i="165"/>
  <c r="F73" i="165"/>
  <c r="F72" i="165"/>
  <c r="F71" i="165"/>
  <c r="E70" i="165"/>
  <c r="F70" i="165" s="1"/>
  <c r="D70" i="165"/>
  <c r="C70" i="165"/>
  <c r="F64" i="165"/>
  <c r="E59" i="165"/>
  <c r="F59" i="165" s="1"/>
  <c r="D59" i="165"/>
  <c r="C59" i="165"/>
  <c r="F58" i="165"/>
  <c r="F53" i="165"/>
  <c r="E48" i="165"/>
  <c r="D48" i="165"/>
  <c r="F48" i="165" s="1"/>
  <c r="C48" i="165"/>
  <c r="F42" i="165"/>
  <c r="E37" i="165"/>
  <c r="F37" i="165" s="1"/>
  <c r="D37" i="165"/>
  <c r="C37" i="165"/>
  <c r="F34" i="165"/>
  <c r="F33" i="165"/>
  <c r="F31" i="165"/>
  <c r="F29" i="165"/>
  <c r="E26" i="165"/>
  <c r="D26" i="165"/>
  <c r="C26" i="165"/>
  <c r="F18" i="165"/>
  <c r="E15" i="165"/>
  <c r="F15" i="165" s="1"/>
  <c r="D15" i="165"/>
  <c r="C15" i="165"/>
  <c r="F13" i="165"/>
  <c r="F11" i="165"/>
  <c r="F9" i="165"/>
  <c r="F7" i="165"/>
  <c r="F6" i="165"/>
  <c r="F5" i="165"/>
  <c r="F118" i="195"/>
  <c r="F107" i="195"/>
  <c r="F414" i="195"/>
  <c r="E414" i="195"/>
  <c r="D414" i="195"/>
  <c r="C414" i="195"/>
  <c r="F413" i="195"/>
  <c r="E413" i="195"/>
  <c r="D413" i="195"/>
  <c r="C413" i="195"/>
  <c r="F412" i="195"/>
  <c r="E412" i="195"/>
  <c r="D412" i="195"/>
  <c r="C412" i="195"/>
  <c r="F411" i="195"/>
  <c r="E411" i="195"/>
  <c r="D411" i="195"/>
  <c r="C411" i="195"/>
  <c r="C415" i="195" s="1"/>
  <c r="E410" i="195"/>
  <c r="D410" i="195"/>
  <c r="C410" i="195"/>
  <c r="E409" i="195"/>
  <c r="F409" i="195" s="1"/>
  <c r="D409" i="195"/>
  <c r="C409" i="195"/>
  <c r="E408" i="195"/>
  <c r="F408" i="195" s="1"/>
  <c r="D408" i="195"/>
  <c r="C408" i="195"/>
  <c r="E407" i="195"/>
  <c r="F407" i="195" s="1"/>
  <c r="D407" i="195"/>
  <c r="C407" i="195"/>
  <c r="E406" i="195"/>
  <c r="F406" i="195" s="1"/>
  <c r="D406" i="195"/>
  <c r="C406" i="195"/>
  <c r="E405" i="195"/>
  <c r="E415" i="195" s="1"/>
  <c r="D405" i="195"/>
  <c r="D415" i="195" s="1"/>
  <c r="C405" i="195"/>
  <c r="E404" i="195"/>
  <c r="F404" i="195" s="1"/>
  <c r="D404" i="195"/>
  <c r="C404" i="195"/>
  <c r="F403" i="195"/>
  <c r="F396" i="195"/>
  <c r="E393" i="195"/>
  <c r="D393" i="195"/>
  <c r="F393" i="195" s="1"/>
  <c r="C393" i="195"/>
  <c r="F385" i="195"/>
  <c r="E382" i="195"/>
  <c r="F382" i="195" s="1"/>
  <c r="D382" i="195"/>
  <c r="C382" i="195"/>
  <c r="F376" i="195"/>
  <c r="F375" i="195"/>
  <c r="F374" i="195"/>
  <c r="E371" i="195"/>
  <c r="D371" i="195"/>
  <c r="F371" i="195" s="1"/>
  <c r="C371" i="195"/>
  <c r="F363" i="195"/>
  <c r="F362" i="195"/>
  <c r="F361" i="195"/>
  <c r="F359" i="195"/>
  <c r="E359" i="195"/>
  <c r="D359" i="195"/>
  <c r="C359" i="195"/>
  <c r="F353" i="195"/>
  <c r="E348" i="195"/>
  <c r="D348" i="195"/>
  <c r="F348" i="195" s="1"/>
  <c r="C348" i="195"/>
  <c r="F341" i="195"/>
  <c r="E337" i="195"/>
  <c r="F337" i="195" s="1"/>
  <c r="D337" i="195"/>
  <c r="C337" i="195"/>
  <c r="F330" i="195"/>
  <c r="E326" i="195"/>
  <c r="F326" i="195" s="1"/>
  <c r="D326" i="195"/>
  <c r="C326" i="195"/>
  <c r="F318" i="195"/>
  <c r="F315" i="195"/>
  <c r="E315" i="195"/>
  <c r="D315" i="195"/>
  <c r="C315" i="195"/>
  <c r="F309" i="195"/>
  <c r="F307" i="195"/>
  <c r="F305" i="195"/>
  <c r="E304" i="195"/>
  <c r="D304" i="195"/>
  <c r="C304" i="195"/>
  <c r="E293" i="195"/>
  <c r="F293" i="195" s="1"/>
  <c r="D293" i="195"/>
  <c r="C293" i="195"/>
  <c r="F289" i="195"/>
  <c r="F285" i="195"/>
  <c r="F282" i="195"/>
  <c r="E282" i="195"/>
  <c r="D282" i="195"/>
  <c r="C282" i="195"/>
  <c r="F276" i="195"/>
  <c r="E271" i="195"/>
  <c r="D271" i="195"/>
  <c r="F271" i="195" s="1"/>
  <c r="C271" i="195"/>
  <c r="F265" i="195"/>
  <c r="E259" i="195"/>
  <c r="F259" i="195" s="1"/>
  <c r="D259" i="195"/>
  <c r="C259" i="195"/>
  <c r="F256" i="195"/>
  <c r="E248" i="195"/>
  <c r="F248" i="195" s="1"/>
  <c r="D248" i="195"/>
  <c r="C248" i="195"/>
  <c r="F240" i="195"/>
  <c r="E237" i="195"/>
  <c r="D237" i="195"/>
  <c r="C237" i="195"/>
  <c r="E226" i="195"/>
  <c r="F226" i="195" s="1"/>
  <c r="D226" i="195"/>
  <c r="C226" i="195"/>
  <c r="F220" i="195"/>
  <c r="F218" i="195"/>
  <c r="E215" i="195"/>
  <c r="D215" i="195"/>
  <c r="F215" i="195" s="1"/>
  <c r="C215" i="195"/>
  <c r="F209" i="195"/>
  <c r="E204" i="195"/>
  <c r="F204" i="195" s="1"/>
  <c r="D204" i="195"/>
  <c r="C204" i="195"/>
  <c r="F196" i="195"/>
  <c r="F195" i="195"/>
  <c r="F194" i="195"/>
  <c r="E193" i="195"/>
  <c r="D193" i="195"/>
  <c r="F193" i="195" s="1"/>
  <c r="C193" i="195"/>
  <c r="F189" i="195"/>
  <c r="F187" i="195"/>
  <c r="F185" i="195"/>
  <c r="F184" i="195"/>
  <c r="F183" i="195"/>
  <c r="E182" i="195"/>
  <c r="F182" i="195" s="1"/>
  <c r="D182" i="195"/>
  <c r="C182" i="195"/>
  <c r="F176" i="195"/>
  <c r="F174" i="195"/>
  <c r="E171" i="195"/>
  <c r="D171" i="195"/>
  <c r="F171" i="195" s="1"/>
  <c r="C171" i="195"/>
  <c r="F167" i="195"/>
  <c r="F163" i="195"/>
  <c r="E159" i="195"/>
  <c r="F159" i="195" s="1"/>
  <c r="D159" i="195"/>
  <c r="C159" i="195"/>
  <c r="F153" i="195"/>
  <c r="F148" i="195"/>
  <c r="E148" i="195"/>
  <c r="D148" i="195"/>
  <c r="C148" i="195"/>
  <c r="F142" i="195"/>
  <c r="E137" i="195"/>
  <c r="D137" i="195"/>
  <c r="F137" i="195" s="1"/>
  <c r="C137" i="195"/>
  <c r="F131" i="195"/>
  <c r="F129" i="195"/>
  <c r="E126" i="195"/>
  <c r="F126" i="195" s="1"/>
  <c r="D126" i="195"/>
  <c r="C126" i="195"/>
  <c r="E115" i="195"/>
  <c r="F115" i="195" s="1"/>
  <c r="D115" i="195"/>
  <c r="C115" i="195"/>
  <c r="F112" i="195"/>
  <c r="F111" i="195"/>
  <c r="E104" i="195"/>
  <c r="D104" i="195"/>
  <c r="F104" i="195" s="1"/>
  <c r="C104" i="195"/>
  <c r="F100" i="195"/>
  <c r="F96" i="195"/>
  <c r="F95" i="195"/>
  <c r="F94" i="195"/>
  <c r="E93" i="195"/>
  <c r="D93" i="195"/>
  <c r="F93" i="195" s="1"/>
  <c r="C93" i="195"/>
  <c r="F89" i="195"/>
  <c r="F87" i="195"/>
  <c r="F85" i="195"/>
  <c r="F84" i="195"/>
  <c r="F83" i="195"/>
  <c r="E81" i="195"/>
  <c r="F81" i="195" s="1"/>
  <c r="D81" i="195"/>
  <c r="C81" i="195"/>
  <c r="F73" i="195"/>
  <c r="F72" i="195"/>
  <c r="F71" i="195"/>
  <c r="E70" i="195"/>
  <c r="D70" i="195"/>
  <c r="F70" i="195" s="1"/>
  <c r="C70" i="195"/>
  <c r="F64" i="195"/>
  <c r="E59" i="195"/>
  <c r="F59" i="195" s="1"/>
  <c r="D59" i="195"/>
  <c r="C59" i="195"/>
  <c r="F58" i="195"/>
  <c r="F53" i="195"/>
  <c r="F48" i="195"/>
  <c r="E48" i="195"/>
  <c r="D48" i="195"/>
  <c r="C48" i="195"/>
  <c r="F42" i="195"/>
  <c r="E37" i="195"/>
  <c r="D37" i="195"/>
  <c r="F37" i="195" s="1"/>
  <c r="C37" i="195"/>
  <c r="F34" i="195"/>
  <c r="F33" i="195"/>
  <c r="F31" i="195"/>
  <c r="F29" i="195"/>
  <c r="E26" i="195"/>
  <c r="D26" i="195"/>
  <c r="C26" i="195"/>
  <c r="F18" i="195"/>
  <c r="E15" i="195"/>
  <c r="D15" i="195"/>
  <c r="F15" i="195" s="1"/>
  <c r="C15" i="195"/>
  <c r="F13" i="195"/>
  <c r="F11" i="195"/>
  <c r="F9" i="195"/>
  <c r="F7" i="195"/>
  <c r="F6" i="195"/>
  <c r="F5" i="195"/>
  <c r="F18" i="180" l="1"/>
  <c r="F405" i="165"/>
  <c r="F415" i="195"/>
  <c r="F405" i="195"/>
  <c r="E249" i="194" l="1"/>
  <c r="F249" i="194" s="1"/>
  <c r="D249" i="194"/>
  <c r="C249" i="194"/>
  <c r="E248" i="194"/>
  <c r="D248" i="194"/>
  <c r="C248" i="194"/>
  <c r="E247" i="194"/>
  <c r="D247" i="194"/>
  <c r="F247" i="194" s="1"/>
  <c r="C247" i="194"/>
  <c r="E246" i="194"/>
  <c r="D246" i="194"/>
  <c r="F246" i="194" s="1"/>
  <c r="C246" i="194"/>
  <c r="E245" i="194"/>
  <c r="D245" i="194"/>
  <c r="F245" i="194" s="1"/>
  <c r="C245" i="194"/>
  <c r="E244" i="194"/>
  <c r="D244" i="194"/>
  <c r="C244" i="194"/>
  <c r="E243" i="194"/>
  <c r="F243" i="194" s="1"/>
  <c r="D243" i="194"/>
  <c r="C243" i="194"/>
  <c r="E242" i="194"/>
  <c r="E250" i="194" s="1"/>
  <c r="D242" i="194"/>
  <c r="D250" i="194" s="1"/>
  <c r="C242" i="194"/>
  <c r="C250" i="194" s="1"/>
  <c r="E241" i="194"/>
  <c r="F241" i="194" s="1"/>
  <c r="D241" i="194"/>
  <c r="C241" i="194"/>
  <c r="F240" i="194"/>
  <c r="E232" i="194"/>
  <c r="D232" i="194"/>
  <c r="F232" i="194" s="1"/>
  <c r="C232" i="194"/>
  <c r="F226" i="194"/>
  <c r="E223" i="194"/>
  <c r="F223" i="194" s="1"/>
  <c r="D223" i="194"/>
  <c r="C223" i="194"/>
  <c r="F220" i="194"/>
  <c r="F214" i="194"/>
  <c r="E214" i="194"/>
  <c r="D214" i="194"/>
  <c r="C214" i="194"/>
  <c r="F209" i="194"/>
  <c r="E204" i="194"/>
  <c r="D204" i="194"/>
  <c r="C204" i="194"/>
  <c r="F195" i="194"/>
  <c r="E195" i="194"/>
  <c r="D195" i="194"/>
  <c r="C195" i="194"/>
  <c r="F187" i="194"/>
  <c r="E186" i="194"/>
  <c r="F186" i="194" s="1"/>
  <c r="D186" i="194"/>
  <c r="C186" i="194"/>
  <c r="F185" i="194"/>
  <c r="E177" i="194"/>
  <c r="D177" i="194"/>
  <c r="C177" i="194"/>
  <c r="E168" i="194"/>
  <c r="F168" i="194" s="1"/>
  <c r="D168" i="194"/>
  <c r="C168" i="194"/>
  <c r="F160" i="194"/>
  <c r="E159" i="194"/>
  <c r="D159" i="194"/>
  <c r="C159" i="194"/>
  <c r="E150" i="194"/>
  <c r="F150" i="194" s="1"/>
  <c r="D150" i="194"/>
  <c r="C150" i="194"/>
  <c r="F145" i="194"/>
  <c r="F142" i="194"/>
  <c r="E141" i="194"/>
  <c r="F141" i="194" s="1"/>
  <c r="D141" i="194"/>
  <c r="C141" i="194"/>
  <c r="F136" i="194"/>
  <c r="F132" i="194"/>
  <c r="E132" i="194"/>
  <c r="D132" i="194"/>
  <c r="C132" i="194"/>
  <c r="F127" i="194"/>
  <c r="F124" i="194"/>
  <c r="E123" i="194"/>
  <c r="D123" i="194"/>
  <c r="F123" i="194" s="1"/>
  <c r="C123" i="194"/>
  <c r="E113" i="194"/>
  <c r="D113" i="194"/>
  <c r="F113" i="194" s="1"/>
  <c r="C113" i="194"/>
  <c r="E104" i="194"/>
  <c r="D104" i="194"/>
  <c r="F104" i="194" s="1"/>
  <c r="C104" i="194"/>
  <c r="E95" i="194"/>
  <c r="D95" i="194"/>
  <c r="C95" i="194"/>
  <c r="E86" i="194"/>
  <c r="F86" i="194" s="1"/>
  <c r="D86" i="194"/>
  <c r="C86" i="194"/>
  <c r="F79" i="194"/>
  <c r="E77" i="194"/>
  <c r="D77" i="194"/>
  <c r="F77" i="194" s="1"/>
  <c r="C77" i="194"/>
  <c r="F72" i="194"/>
  <c r="E68" i="194"/>
  <c r="F68" i="194" s="1"/>
  <c r="D68" i="194"/>
  <c r="C68" i="194"/>
  <c r="F63" i="194"/>
  <c r="F60" i="194"/>
  <c r="E59" i="194"/>
  <c r="F59" i="194" s="1"/>
  <c r="D59" i="194"/>
  <c r="C59" i="194"/>
  <c r="F51" i="194"/>
  <c r="E49" i="194"/>
  <c r="D49" i="194"/>
  <c r="F49" i="194" s="1"/>
  <c r="C49" i="194"/>
  <c r="F41" i="194"/>
  <c r="E40" i="194"/>
  <c r="F40" i="194" s="1"/>
  <c r="D40" i="194"/>
  <c r="C40" i="194"/>
  <c r="F39" i="194"/>
  <c r="F33" i="194"/>
  <c r="F32" i="194"/>
  <c r="E31" i="194"/>
  <c r="D31" i="194"/>
  <c r="F31" i="194" s="1"/>
  <c r="C31" i="194"/>
  <c r="F28" i="194"/>
  <c r="F27" i="194"/>
  <c r="F26" i="194"/>
  <c r="E22" i="194"/>
  <c r="F22" i="194" s="1"/>
  <c r="D22" i="194"/>
  <c r="C22" i="194"/>
  <c r="F17" i="194"/>
  <c r="E13" i="194"/>
  <c r="D13" i="194"/>
  <c r="F13" i="194" s="1"/>
  <c r="C13" i="194"/>
  <c r="F5" i="194"/>
  <c r="D243" i="162"/>
  <c r="D244" i="162"/>
  <c r="D245" i="162"/>
  <c r="D246" i="162"/>
  <c r="D250" i="162" s="1"/>
  <c r="D247" i="162"/>
  <c r="D248" i="162"/>
  <c r="D249" i="162"/>
  <c r="D242" i="162"/>
  <c r="E123" i="162"/>
  <c r="D123" i="162"/>
  <c r="C123" i="162"/>
  <c r="E250" i="162"/>
  <c r="C250" i="162"/>
  <c r="C243" i="162"/>
  <c r="E243" i="162"/>
  <c r="C244" i="162"/>
  <c r="E244" i="162"/>
  <c r="C245" i="162"/>
  <c r="E245" i="162"/>
  <c r="C246" i="162"/>
  <c r="E246" i="162"/>
  <c r="C247" i="162"/>
  <c r="E247" i="162"/>
  <c r="C248" i="162"/>
  <c r="E248" i="162"/>
  <c r="C249" i="162"/>
  <c r="E249" i="162"/>
  <c r="E242" i="162"/>
  <c r="C242" i="162"/>
  <c r="F226" i="162"/>
  <c r="F187" i="162"/>
  <c r="E195" i="162"/>
  <c r="D195" i="162"/>
  <c r="C195" i="162"/>
  <c r="F185" i="162"/>
  <c r="E159" i="162"/>
  <c r="D159" i="162"/>
  <c r="C159" i="162"/>
  <c r="F127" i="162"/>
  <c r="D104" i="162"/>
  <c r="E104" i="162"/>
  <c r="F39" i="162"/>
  <c r="F28" i="162"/>
  <c r="E30" i="72"/>
  <c r="E31" i="72"/>
  <c r="E32" i="72"/>
  <c r="E33" i="72"/>
  <c r="N31" i="72"/>
  <c r="O31" i="72"/>
  <c r="P31" i="72"/>
  <c r="N32" i="72"/>
  <c r="O32" i="72"/>
  <c r="P32" i="72"/>
  <c r="N33" i="72"/>
  <c r="O33" i="72"/>
  <c r="P33" i="72"/>
  <c r="N34" i="72"/>
  <c r="O34" i="72"/>
  <c r="P34" i="72"/>
  <c r="N35" i="72"/>
  <c r="O35" i="72"/>
  <c r="P35" i="72"/>
  <c r="O25" i="72"/>
  <c r="O24" i="72"/>
  <c r="O23" i="72"/>
  <c r="F250" i="194" l="1"/>
  <c r="F242" i="194"/>
  <c r="F123" i="162"/>
  <c r="F104" i="162"/>
  <c r="F195" i="162"/>
  <c r="Q35" i="72"/>
  <c r="Q32" i="72"/>
  <c r="Q33" i="72"/>
  <c r="Q31" i="72"/>
  <c r="E19" i="72"/>
  <c r="E25" i="72" l="1"/>
  <c r="P25" i="72"/>
  <c r="Q25" i="72" s="1"/>
  <c r="E24" i="72"/>
  <c r="P24" i="72"/>
  <c r="Q24" i="72" s="1"/>
  <c r="E23" i="72"/>
  <c r="P23" i="72"/>
  <c r="Q23" i="72" s="1"/>
  <c r="C15" i="72" l="1"/>
  <c r="D15" i="72"/>
  <c r="B15" i="72"/>
  <c r="D9" i="72" l="1"/>
  <c r="C9" i="72"/>
  <c r="B9" i="72"/>
  <c r="C13" i="71"/>
  <c r="B13" i="71"/>
  <c r="D14" i="71"/>
  <c r="C14" i="71"/>
  <c r="B14" i="71"/>
  <c r="E45" i="163"/>
  <c r="I16" i="163"/>
  <c r="I8" i="163"/>
  <c r="C44" i="163"/>
  <c r="E48" i="73" l="1"/>
  <c r="D48" i="73"/>
  <c r="D39" i="73"/>
  <c r="E39" i="73"/>
  <c r="D40" i="73"/>
  <c r="E40" i="73"/>
  <c r="D41" i="73"/>
  <c r="E41" i="73"/>
  <c r="D42" i="73"/>
  <c r="E42" i="73"/>
  <c r="D43" i="73"/>
  <c r="E43" i="73"/>
  <c r="D44" i="73"/>
  <c r="E44" i="73"/>
  <c r="D45" i="73"/>
  <c r="E45" i="73"/>
  <c r="D46" i="73"/>
  <c r="E46" i="73"/>
  <c r="D47" i="73"/>
  <c r="E47" i="73"/>
  <c r="E38" i="73"/>
  <c r="D38" i="73"/>
  <c r="C39" i="73"/>
  <c r="C40" i="73"/>
  <c r="C41" i="73"/>
  <c r="C42" i="73"/>
  <c r="C43" i="73"/>
  <c r="C44" i="73"/>
  <c r="C45" i="73"/>
  <c r="C46" i="73"/>
  <c r="C47" i="73"/>
  <c r="C48" i="73"/>
  <c r="C38" i="73"/>
  <c r="F28" i="73"/>
  <c r="F29" i="73"/>
  <c r="F27" i="73"/>
  <c r="E37" i="73"/>
  <c r="F37" i="73" s="1"/>
  <c r="D37" i="73"/>
  <c r="C37" i="73"/>
  <c r="E49" i="158"/>
  <c r="F49" i="158" s="1"/>
  <c r="D49" i="158"/>
  <c r="C49" i="158"/>
  <c r="E48" i="158"/>
  <c r="D48" i="158"/>
  <c r="C48" i="158"/>
  <c r="E47" i="158"/>
  <c r="D47" i="158"/>
  <c r="C47" i="158"/>
  <c r="E46" i="158"/>
  <c r="D46" i="158"/>
  <c r="C46" i="158"/>
  <c r="F45" i="158"/>
  <c r="E45" i="158"/>
  <c r="D45" i="158"/>
  <c r="C45" i="158"/>
  <c r="E44" i="158"/>
  <c r="E50" i="158" s="1"/>
  <c r="F50" i="158" s="1"/>
  <c r="D44" i="158"/>
  <c r="C44" i="158"/>
  <c r="C50" i="158" s="1"/>
  <c r="E43" i="158"/>
  <c r="D43" i="158"/>
  <c r="C43" i="158"/>
  <c r="E42" i="158"/>
  <c r="F42" i="158" s="1"/>
  <c r="D42" i="158"/>
  <c r="D50" i="158" s="1"/>
  <c r="C42" i="158"/>
  <c r="E41" i="158"/>
  <c r="F41" i="158" s="1"/>
  <c r="D41" i="158"/>
  <c r="C41" i="158"/>
  <c r="F40" i="158"/>
  <c r="E32" i="158"/>
  <c r="F32" i="158" s="1"/>
  <c r="D32" i="158"/>
  <c r="C32" i="158"/>
  <c r="F24" i="158"/>
  <c r="E23" i="158"/>
  <c r="D23" i="158"/>
  <c r="C23" i="158"/>
  <c r="E14" i="158"/>
  <c r="F14" i="158" s="1"/>
  <c r="D14" i="158"/>
  <c r="C14" i="158"/>
  <c r="F9" i="158"/>
  <c r="F6" i="158"/>
  <c r="F42" i="159"/>
  <c r="E42" i="159"/>
  <c r="D42" i="159"/>
  <c r="F24" i="159"/>
  <c r="E32" i="159"/>
  <c r="D32" i="159"/>
  <c r="C32" i="159"/>
  <c r="F6" i="159"/>
  <c r="G17" i="147"/>
  <c r="E61" i="198"/>
  <c r="D61" i="198"/>
  <c r="C61" i="198"/>
  <c r="E60" i="198"/>
  <c r="D60" i="198"/>
  <c r="C60" i="198"/>
  <c r="E59" i="198"/>
  <c r="D59" i="198"/>
  <c r="C59" i="198"/>
  <c r="E58" i="198"/>
  <c r="D58" i="198"/>
  <c r="C58" i="198"/>
  <c r="E57" i="198"/>
  <c r="D57" i="198"/>
  <c r="C57" i="198"/>
  <c r="E56" i="198"/>
  <c r="D56" i="198"/>
  <c r="F56" i="198" s="1"/>
  <c r="C56" i="198"/>
  <c r="E55" i="198"/>
  <c r="D55" i="198"/>
  <c r="C55" i="198"/>
  <c r="E54" i="198"/>
  <c r="F54" i="198" s="1"/>
  <c r="D54" i="198"/>
  <c r="C54" i="198"/>
  <c r="E53" i="198"/>
  <c r="F53" i="198" s="1"/>
  <c r="D53" i="198"/>
  <c r="C53" i="198"/>
  <c r="E52" i="198"/>
  <c r="F52" i="198" s="1"/>
  <c r="D52" i="198"/>
  <c r="C52" i="198"/>
  <c r="E51" i="198"/>
  <c r="E62" i="198" s="1"/>
  <c r="F62" i="198" s="1"/>
  <c r="D51" i="198"/>
  <c r="D62" i="198" s="1"/>
  <c r="C51" i="198"/>
  <c r="C62" i="198" s="1"/>
  <c r="F43" i="198"/>
  <c r="F42" i="198"/>
  <c r="F41" i="198"/>
  <c r="E40" i="198"/>
  <c r="D40" i="198"/>
  <c r="F40" i="198" s="1"/>
  <c r="C40" i="198"/>
  <c r="F34" i="198"/>
  <c r="F32" i="198"/>
  <c r="F29" i="198"/>
  <c r="E29" i="198"/>
  <c r="D29" i="198"/>
  <c r="C29" i="198"/>
  <c r="F23" i="198"/>
  <c r="F21" i="198"/>
  <c r="F20" i="198"/>
  <c r="F19" i="198"/>
  <c r="F18" i="198"/>
  <c r="E18" i="198"/>
  <c r="D18" i="198"/>
  <c r="C18" i="198"/>
  <c r="F10" i="198"/>
  <c r="F34" i="83"/>
  <c r="I19" i="152"/>
  <c r="D19" i="152"/>
  <c r="E39" i="156"/>
  <c r="D39" i="156"/>
  <c r="E38" i="156"/>
  <c r="D38" i="156"/>
  <c r="C38" i="156"/>
  <c r="E37" i="156"/>
  <c r="D37" i="156"/>
  <c r="C37" i="156"/>
  <c r="E36" i="156"/>
  <c r="D36" i="156"/>
  <c r="C36" i="156"/>
  <c r="E35" i="156"/>
  <c r="D35" i="156"/>
  <c r="C35" i="156"/>
  <c r="E34" i="156"/>
  <c r="D34" i="156"/>
  <c r="C34" i="156"/>
  <c r="E33" i="156"/>
  <c r="F33" i="156" s="1"/>
  <c r="D33" i="156"/>
  <c r="C33" i="156"/>
  <c r="E32" i="156"/>
  <c r="D32" i="156"/>
  <c r="C32" i="156"/>
  <c r="E23" i="156"/>
  <c r="D23" i="156"/>
  <c r="C23" i="156"/>
  <c r="F18" i="156"/>
  <c r="F15" i="156"/>
  <c r="E14" i="156"/>
  <c r="D14" i="156"/>
  <c r="C14" i="156"/>
  <c r="F13" i="156"/>
  <c r="C34" i="157"/>
  <c r="D34" i="157"/>
  <c r="E34" i="157"/>
  <c r="C35" i="157"/>
  <c r="D35" i="157"/>
  <c r="E35" i="157"/>
  <c r="C36" i="157"/>
  <c r="D36" i="157"/>
  <c r="E36" i="157"/>
  <c r="C37" i="157"/>
  <c r="D37" i="157"/>
  <c r="E37" i="157"/>
  <c r="C38" i="157"/>
  <c r="D38" i="157"/>
  <c r="E38" i="157"/>
  <c r="C39" i="157"/>
  <c r="D39" i="157"/>
  <c r="E39" i="157"/>
  <c r="C40" i="157"/>
  <c r="D40" i="157"/>
  <c r="E40" i="157"/>
  <c r="D33" i="157"/>
  <c r="E33" i="157"/>
  <c r="C33" i="157"/>
  <c r="C41" i="157" s="1"/>
  <c r="E32" i="157"/>
  <c r="D32" i="157"/>
  <c r="C32" i="157"/>
  <c r="E23" i="157"/>
  <c r="D23" i="157"/>
  <c r="C23" i="157"/>
  <c r="F18" i="157"/>
  <c r="F15" i="157"/>
  <c r="D41" i="157" l="1"/>
  <c r="F14" i="156"/>
  <c r="F32" i="156"/>
  <c r="F36" i="156"/>
  <c r="F40" i="156"/>
  <c r="F23" i="156"/>
  <c r="E41" i="157"/>
  <c r="F32" i="159"/>
  <c r="F51" i="198"/>
  <c r="F41" i="156"/>
  <c r="F32" i="157"/>
  <c r="F23" i="157"/>
  <c r="D14" i="157"/>
  <c r="E14" i="157"/>
  <c r="C14" i="157"/>
  <c r="G37" i="163"/>
  <c r="G42" i="163"/>
  <c r="H42" i="163"/>
  <c r="H37" i="163" s="1"/>
  <c r="D45" i="180" l="1"/>
  <c r="F45" i="180"/>
  <c r="C45" i="180"/>
  <c r="E42" i="180"/>
  <c r="G42" i="180" s="1"/>
  <c r="E43" i="180"/>
  <c r="G43" i="180" s="1"/>
  <c r="G44" i="180"/>
  <c r="E41" i="180"/>
  <c r="G41" i="180" s="1"/>
  <c r="C34" i="180"/>
  <c r="E33" i="180"/>
  <c r="E34" i="180" s="1"/>
  <c r="D34" i="180"/>
  <c r="F9" i="180"/>
  <c r="E23" i="203"/>
  <c r="D23" i="203"/>
  <c r="F9" i="203"/>
  <c r="F8" i="203"/>
  <c r="F6" i="203"/>
  <c r="I30" i="202"/>
  <c r="F30" i="202"/>
  <c r="J28" i="202"/>
  <c r="J21" i="202"/>
  <c r="J16" i="202"/>
  <c r="J12" i="202"/>
  <c r="J9" i="202"/>
  <c r="J8" i="202"/>
  <c r="J7" i="202"/>
  <c r="J30" i="202" l="1"/>
  <c r="G45" i="180"/>
  <c r="E45" i="180"/>
  <c r="G12" i="147" l="1"/>
  <c r="D21" i="133" l="1"/>
  <c r="J23" i="154"/>
  <c r="C16" i="154"/>
  <c r="J15" i="154"/>
  <c r="B16" i="154"/>
  <c r="B28" i="154" l="1"/>
  <c r="C9" i="186"/>
  <c r="G29" i="186" l="1"/>
  <c r="N21" i="163"/>
  <c r="O21" i="163"/>
  <c r="E23" i="186"/>
  <c r="E20" i="186" s="1"/>
  <c r="F23" i="186"/>
  <c r="F20" i="186" s="1"/>
  <c r="E21" i="199" l="1"/>
  <c r="D21" i="199"/>
  <c r="E26" i="199"/>
  <c r="D26" i="199"/>
  <c r="E15" i="199"/>
  <c r="D15" i="199"/>
  <c r="D33" i="199" l="1"/>
  <c r="E33" i="199"/>
  <c r="F32" i="83"/>
  <c r="C104" i="162" l="1"/>
  <c r="F27" i="162"/>
  <c r="F33" i="157"/>
  <c r="D43" i="159"/>
  <c r="E43" i="159"/>
  <c r="D44" i="159"/>
  <c r="E44" i="159"/>
  <c r="D45" i="159"/>
  <c r="E45" i="159"/>
  <c r="D46" i="159"/>
  <c r="E46" i="159"/>
  <c r="D47" i="159"/>
  <c r="E47" i="159"/>
  <c r="D48" i="159"/>
  <c r="E48" i="159"/>
  <c r="D49" i="159"/>
  <c r="E49" i="159"/>
  <c r="C43" i="159"/>
  <c r="C44" i="159"/>
  <c r="C45" i="159"/>
  <c r="C46" i="159"/>
  <c r="C47" i="159"/>
  <c r="C48" i="159"/>
  <c r="C49" i="159"/>
  <c r="C42" i="159"/>
  <c r="F40" i="159"/>
  <c r="D50" i="159" l="1"/>
  <c r="F246" i="162"/>
  <c r="C23" i="186"/>
  <c r="C20" i="186" s="1"/>
  <c r="C16" i="71"/>
  <c r="D16" i="71"/>
  <c r="B16" i="71"/>
  <c r="M16" i="163"/>
  <c r="D42" i="163"/>
  <c r="C23" i="163"/>
  <c r="C20" i="163" s="1"/>
  <c r="D23" i="163"/>
  <c r="B23" i="163"/>
  <c r="B20" i="163" s="1"/>
  <c r="L42" i="163"/>
  <c r="G60" i="186" l="1"/>
  <c r="G59" i="186"/>
  <c r="F58" i="186"/>
  <c r="E58" i="186"/>
  <c r="D58" i="186"/>
  <c r="G57" i="186"/>
  <c r="G56" i="186"/>
  <c r="G55" i="186"/>
  <c r="F52" i="186"/>
  <c r="E52" i="186"/>
  <c r="D52" i="186"/>
  <c r="G51" i="186"/>
  <c r="G50" i="186"/>
  <c r="G49" i="186"/>
  <c r="G48" i="186"/>
  <c r="G47" i="186"/>
  <c r="G46" i="186"/>
  <c r="F45" i="186"/>
  <c r="E45" i="186"/>
  <c r="D45" i="186"/>
  <c r="C45" i="186"/>
  <c r="C61" i="186" s="1"/>
  <c r="G37" i="186"/>
  <c r="G36" i="186"/>
  <c r="D35" i="186"/>
  <c r="C35" i="186"/>
  <c r="G30" i="186"/>
  <c r="G28" i="186"/>
  <c r="G27" i="186"/>
  <c r="G25" i="186"/>
  <c r="G24" i="186"/>
  <c r="D23" i="186"/>
  <c r="D20" i="186" s="1"/>
  <c r="G22" i="186"/>
  <c r="G19" i="186"/>
  <c r="G18" i="186"/>
  <c r="F17" i="186"/>
  <c r="E17" i="186"/>
  <c r="D17" i="186"/>
  <c r="C17" i="186"/>
  <c r="G16" i="186"/>
  <c r="G13" i="186"/>
  <c r="G12" i="186"/>
  <c r="G11" i="186"/>
  <c r="G10" i="186"/>
  <c r="F9" i="186"/>
  <c r="F8" i="186" s="1"/>
  <c r="E9" i="186"/>
  <c r="E8" i="186" s="1"/>
  <c r="D9" i="186"/>
  <c r="D8" i="186" s="1"/>
  <c r="C8" i="186"/>
  <c r="F61" i="186" l="1"/>
  <c r="F34" i="186"/>
  <c r="E61" i="186"/>
  <c r="E62" i="186" s="1"/>
  <c r="G17" i="186"/>
  <c r="G23" i="186"/>
  <c r="E34" i="186"/>
  <c r="E63" i="186" s="1"/>
  <c r="C62" i="186"/>
  <c r="G58" i="186"/>
  <c r="G35" i="186"/>
  <c r="D61" i="186"/>
  <c r="D62" i="186" s="1"/>
  <c r="C34" i="186"/>
  <c r="C63" i="186" s="1"/>
  <c r="D34" i="186"/>
  <c r="D63" i="186" s="1"/>
  <c r="F62" i="186"/>
  <c r="G9" i="186"/>
  <c r="G45" i="186"/>
  <c r="G8" i="186"/>
  <c r="G61" i="186" l="1"/>
  <c r="G62" i="186"/>
  <c r="G20" i="186"/>
  <c r="F63" i="186"/>
  <c r="G63" i="186" s="1"/>
  <c r="G34" i="186"/>
  <c r="E177" i="162" l="1"/>
  <c r="D177" i="162"/>
  <c r="C177" i="162"/>
  <c r="E168" i="162"/>
  <c r="D168" i="162"/>
  <c r="C168" i="162"/>
  <c r="F160" i="162"/>
  <c r="D113" i="162"/>
  <c r="E113" i="162"/>
  <c r="C113" i="162"/>
  <c r="D77" i="162"/>
  <c r="E77" i="162"/>
  <c r="C77" i="162"/>
  <c r="F72" i="162"/>
  <c r="F41" i="162"/>
  <c r="F5" i="162"/>
  <c r="F113" i="162" l="1"/>
  <c r="F168" i="162"/>
  <c r="F77" i="162"/>
  <c r="C28" i="154"/>
  <c r="C30" i="154" s="1"/>
  <c r="D16" i="154"/>
  <c r="J14" i="154"/>
  <c r="J27" i="154"/>
  <c r="J19" i="154" l="1"/>
  <c r="E21" i="154"/>
  <c r="E22" i="154"/>
  <c r="E23" i="154"/>
  <c r="G16" i="147"/>
  <c r="G19" i="147"/>
  <c r="G14" i="145"/>
  <c r="G21" i="147" l="1"/>
  <c r="G18" i="145"/>
  <c r="G10" i="145"/>
  <c r="G21" i="145" l="1"/>
  <c r="I13" i="150"/>
  <c r="I14" i="150"/>
  <c r="I15" i="150"/>
  <c r="I16" i="150"/>
  <c r="I18" i="150"/>
  <c r="H17" i="150"/>
  <c r="I17" i="150" s="1"/>
  <c r="I12" i="150"/>
  <c r="E11" i="72" l="1"/>
  <c r="E20" i="71"/>
  <c r="C31" i="163"/>
  <c r="D31" i="163"/>
  <c r="B31" i="163"/>
  <c r="C9" i="163"/>
  <c r="D9" i="163"/>
  <c r="P9" i="163" s="1"/>
  <c r="B9" i="163"/>
  <c r="B8" i="163" s="1"/>
  <c r="P14" i="163"/>
  <c r="O14" i="163"/>
  <c r="N15" i="163"/>
  <c r="G14" i="146"/>
  <c r="E26" i="73"/>
  <c r="C15" i="73"/>
  <c r="F42" i="163"/>
  <c r="K42" i="163"/>
  <c r="K37" i="163" s="1"/>
  <c r="P39" i="72"/>
  <c r="O39" i="72"/>
  <c r="N39" i="72"/>
  <c r="P29" i="72"/>
  <c r="P30" i="72"/>
  <c r="O29" i="72"/>
  <c r="O30" i="72"/>
  <c r="N29" i="72"/>
  <c r="N30" i="72"/>
  <c r="M18" i="72"/>
  <c r="P21" i="72"/>
  <c r="O21" i="72"/>
  <c r="N21" i="72"/>
  <c r="N22" i="72"/>
  <c r="F23" i="180"/>
  <c r="F24" i="180" s="1"/>
  <c r="H13" i="152"/>
  <c r="I13" i="152" s="1"/>
  <c r="H14" i="152"/>
  <c r="H15" i="152"/>
  <c r="I15" i="152" s="1"/>
  <c r="H16" i="152"/>
  <c r="I16" i="152" s="1"/>
  <c r="H17" i="152"/>
  <c r="I17" i="152" s="1"/>
  <c r="H18" i="152"/>
  <c r="I18" i="152" s="1"/>
  <c r="I12" i="152"/>
  <c r="H12" i="152"/>
  <c r="H18" i="151"/>
  <c r="I18" i="151" s="1"/>
  <c r="F124" i="162"/>
  <c r="C132" i="162"/>
  <c r="D132" i="162"/>
  <c r="E132" i="162"/>
  <c r="F240" i="162"/>
  <c r="E241" i="162"/>
  <c r="D241" i="162"/>
  <c r="C241" i="162"/>
  <c r="E232" i="162"/>
  <c r="D232" i="162"/>
  <c r="C232" i="162"/>
  <c r="F220" i="162"/>
  <c r="E223" i="162"/>
  <c r="D223" i="162"/>
  <c r="C223" i="162"/>
  <c r="F209" i="162"/>
  <c r="E214" i="162"/>
  <c r="D214" i="162"/>
  <c r="C214" i="162"/>
  <c r="F145" i="162"/>
  <c r="F142" i="162"/>
  <c r="F136" i="162"/>
  <c r="D86" i="162"/>
  <c r="E86" i="162"/>
  <c r="C86" i="162"/>
  <c r="F51" i="162"/>
  <c r="F32" i="162"/>
  <c r="D31" i="162"/>
  <c r="E31" i="162"/>
  <c r="C31" i="162"/>
  <c r="F26" i="162"/>
  <c r="F17" i="162"/>
  <c r="H42" i="145"/>
  <c r="H35" i="145"/>
  <c r="H34" i="145"/>
  <c r="F42" i="73"/>
  <c r="F9" i="159"/>
  <c r="F13" i="157"/>
  <c r="C52" i="83"/>
  <c r="C29" i="83"/>
  <c r="F23" i="83"/>
  <c r="F36" i="157"/>
  <c r="L37" i="163"/>
  <c r="L36" i="163" s="1"/>
  <c r="P40" i="163"/>
  <c r="O40" i="163"/>
  <c r="N40" i="163"/>
  <c r="E15" i="154"/>
  <c r="E21" i="72"/>
  <c r="E39" i="72"/>
  <c r="J16" i="71"/>
  <c r="M13" i="71"/>
  <c r="B38" i="163"/>
  <c r="D38" i="163"/>
  <c r="P38" i="163" s="1"/>
  <c r="C38" i="163"/>
  <c r="O38" i="163" s="1"/>
  <c r="D28" i="154"/>
  <c r="D30" i="154" s="1"/>
  <c r="J13" i="154"/>
  <c r="P46" i="163"/>
  <c r="O46" i="163"/>
  <c r="N46" i="163"/>
  <c r="M46" i="163"/>
  <c r="I46" i="163"/>
  <c r="P45" i="163"/>
  <c r="O45" i="163"/>
  <c r="N45" i="163"/>
  <c r="P44" i="163"/>
  <c r="O44" i="163"/>
  <c r="N44" i="163"/>
  <c r="E44" i="163"/>
  <c r="P43" i="163"/>
  <c r="O43" i="163"/>
  <c r="N43" i="163"/>
  <c r="E43" i="163"/>
  <c r="J42" i="163"/>
  <c r="C42" i="163"/>
  <c r="B42" i="163"/>
  <c r="P41" i="163"/>
  <c r="O41" i="163"/>
  <c r="N41" i="163"/>
  <c r="P39" i="163"/>
  <c r="O39" i="163"/>
  <c r="N39" i="163"/>
  <c r="E39" i="163"/>
  <c r="J37" i="163"/>
  <c r="J36" i="163" s="1"/>
  <c r="P33" i="163"/>
  <c r="O33" i="163"/>
  <c r="N33" i="163"/>
  <c r="P32" i="163"/>
  <c r="O32" i="163"/>
  <c r="N32" i="163"/>
  <c r="L31" i="163"/>
  <c r="K31" i="163"/>
  <c r="K29" i="163" s="1"/>
  <c r="O29" i="163" s="1"/>
  <c r="J31" i="163"/>
  <c r="H31" i="163"/>
  <c r="G31" i="163"/>
  <c r="F31" i="163"/>
  <c r="P30" i="163"/>
  <c r="O30" i="163"/>
  <c r="N30" i="163"/>
  <c r="E30" i="163"/>
  <c r="J29" i="163"/>
  <c r="N29" i="163" s="1"/>
  <c r="P28" i="163"/>
  <c r="O28" i="163"/>
  <c r="N28" i="163"/>
  <c r="M28" i="163"/>
  <c r="I28" i="163"/>
  <c r="E28" i="163"/>
  <c r="P27" i="163"/>
  <c r="O27" i="163"/>
  <c r="N27" i="163"/>
  <c r="E27" i="163"/>
  <c r="P26" i="163"/>
  <c r="O26" i="163"/>
  <c r="N26" i="163"/>
  <c r="P25" i="163"/>
  <c r="O25" i="163"/>
  <c r="N25" i="163"/>
  <c r="E25" i="163"/>
  <c r="P24" i="163"/>
  <c r="O24" i="163"/>
  <c r="N24" i="163"/>
  <c r="E24" i="163"/>
  <c r="L23" i="163"/>
  <c r="L20" i="163" s="1"/>
  <c r="K23" i="163"/>
  <c r="J23" i="163"/>
  <c r="H23" i="163"/>
  <c r="H20" i="163" s="1"/>
  <c r="G23" i="163"/>
  <c r="G20" i="163" s="1"/>
  <c r="F23" i="163"/>
  <c r="F20" i="163" s="1"/>
  <c r="D20" i="163"/>
  <c r="P22" i="163"/>
  <c r="O22" i="163"/>
  <c r="N22" i="163"/>
  <c r="E22" i="163"/>
  <c r="P19" i="163"/>
  <c r="O19" i="163"/>
  <c r="N19" i="163"/>
  <c r="E19" i="163"/>
  <c r="P18" i="163"/>
  <c r="O18" i="163"/>
  <c r="N18" i="163"/>
  <c r="E18" i="163"/>
  <c r="L17" i="163"/>
  <c r="K17" i="163"/>
  <c r="J17" i="163"/>
  <c r="H17" i="163"/>
  <c r="G17" i="163"/>
  <c r="F17" i="163"/>
  <c r="D17" i="163"/>
  <c r="C17" i="163"/>
  <c r="B17" i="163"/>
  <c r="P16" i="163"/>
  <c r="O16" i="163"/>
  <c r="N16" i="163"/>
  <c r="E16" i="163"/>
  <c r="P13" i="163"/>
  <c r="O13" i="163"/>
  <c r="N13" i="163"/>
  <c r="E13" i="163"/>
  <c r="P12" i="163"/>
  <c r="O12" i="163"/>
  <c r="N12" i="163"/>
  <c r="E12" i="163"/>
  <c r="P11" i="163"/>
  <c r="O11" i="163"/>
  <c r="N11" i="163"/>
  <c r="E11" i="163"/>
  <c r="P10" i="163"/>
  <c r="O10" i="163"/>
  <c r="N10" i="163"/>
  <c r="E10" i="163"/>
  <c r="L9" i="163"/>
  <c r="L8" i="163" s="1"/>
  <c r="K9" i="163"/>
  <c r="K8" i="163" s="1"/>
  <c r="J9" i="163"/>
  <c r="J8" i="163" s="1"/>
  <c r="H9" i="163"/>
  <c r="H8" i="163" s="1"/>
  <c r="G9" i="163"/>
  <c r="G8" i="163" s="1"/>
  <c r="F9" i="163"/>
  <c r="F8" i="163" s="1"/>
  <c r="E204" i="162"/>
  <c r="D204" i="162"/>
  <c r="C204" i="162"/>
  <c r="E186" i="162"/>
  <c r="D186" i="162"/>
  <c r="C186" i="162"/>
  <c r="E150" i="162"/>
  <c r="D150" i="162"/>
  <c r="C150" i="162"/>
  <c r="E141" i="162"/>
  <c r="D141" i="162"/>
  <c r="C141" i="162"/>
  <c r="E95" i="162"/>
  <c r="D95" i="162"/>
  <c r="C95" i="162"/>
  <c r="F79" i="162"/>
  <c r="E68" i="162"/>
  <c r="D68" i="162"/>
  <c r="C68" i="162"/>
  <c r="F63" i="162"/>
  <c r="F60" i="162"/>
  <c r="E59" i="162"/>
  <c r="D59" i="162"/>
  <c r="C59" i="162"/>
  <c r="E49" i="162"/>
  <c r="D49" i="162"/>
  <c r="C49" i="162"/>
  <c r="E40" i="162"/>
  <c r="D40" i="162"/>
  <c r="C40" i="162"/>
  <c r="F33" i="162"/>
  <c r="E22" i="162"/>
  <c r="D22" i="162"/>
  <c r="C22" i="162"/>
  <c r="E13" i="162"/>
  <c r="D13" i="162"/>
  <c r="C13" i="162"/>
  <c r="E41" i="159"/>
  <c r="D41" i="159"/>
  <c r="C41" i="159"/>
  <c r="E23" i="159"/>
  <c r="D23" i="159"/>
  <c r="C23" i="159"/>
  <c r="E14" i="159"/>
  <c r="D14" i="159"/>
  <c r="C14" i="159"/>
  <c r="J26" i="154"/>
  <c r="J25" i="154"/>
  <c r="J20" i="154"/>
  <c r="E20" i="154"/>
  <c r="E13" i="154"/>
  <c r="J12" i="154"/>
  <c r="E12" i="154"/>
  <c r="J11" i="154"/>
  <c r="E11" i="154"/>
  <c r="J10" i="154"/>
  <c r="E10" i="154"/>
  <c r="J9" i="154"/>
  <c r="E9" i="154"/>
  <c r="E29" i="72"/>
  <c r="N20" i="72"/>
  <c r="N26" i="72"/>
  <c r="N27" i="72"/>
  <c r="O20" i="72"/>
  <c r="P26" i="72"/>
  <c r="P27" i="72"/>
  <c r="P22" i="72"/>
  <c r="I19" i="150"/>
  <c r="I24" i="150" s="1"/>
  <c r="E27" i="72"/>
  <c r="O27" i="72"/>
  <c r="E26" i="72"/>
  <c r="O26" i="72"/>
  <c r="E22" i="72"/>
  <c r="O22" i="72"/>
  <c r="D21" i="132"/>
  <c r="D18" i="132"/>
  <c r="D22" i="132" s="1"/>
  <c r="D14" i="132"/>
  <c r="D11" i="132"/>
  <c r="D18" i="133"/>
  <c r="D14" i="133"/>
  <c r="D11" i="133"/>
  <c r="D23" i="134"/>
  <c r="D20" i="134"/>
  <c r="D16" i="134"/>
  <c r="D13" i="134"/>
  <c r="D24" i="152"/>
  <c r="G19" i="152"/>
  <c r="G24" i="152"/>
  <c r="F19" i="152"/>
  <c r="F24" i="152" s="1"/>
  <c r="E19" i="152"/>
  <c r="E24" i="152" s="1"/>
  <c r="C19" i="152"/>
  <c r="C24" i="152"/>
  <c r="G20" i="151"/>
  <c r="G25" i="151" s="1"/>
  <c r="F20" i="151"/>
  <c r="F25" i="151" s="1"/>
  <c r="E20" i="151"/>
  <c r="E25" i="151" s="1"/>
  <c r="D20" i="151"/>
  <c r="D25" i="151" s="1"/>
  <c r="C20" i="151"/>
  <c r="C25" i="151" s="1"/>
  <c r="H19" i="151"/>
  <c r="H20" i="151" s="1"/>
  <c r="H25" i="151" s="1"/>
  <c r="H19" i="150"/>
  <c r="H24" i="150" s="1"/>
  <c r="G19" i="150"/>
  <c r="G24" i="150" s="1"/>
  <c r="F19" i="150"/>
  <c r="F24" i="150" s="1"/>
  <c r="E19" i="150"/>
  <c r="E24" i="150" s="1"/>
  <c r="D19" i="150"/>
  <c r="D24" i="150" s="1"/>
  <c r="C19" i="150"/>
  <c r="C24" i="150" s="1"/>
  <c r="G17" i="146"/>
  <c r="G10" i="146"/>
  <c r="N40" i="72"/>
  <c r="P37" i="72"/>
  <c r="O37" i="72"/>
  <c r="N37" i="72"/>
  <c r="F20" i="73"/>
  <c r="M13" i="72"/>
  <c r="M12" i="72"/>
  <c r="M10" i="72"/>
  <c r="M8" i="72"/>
  <c r="I18" i="72"/>
  <c r="I17" i="72"/>
  <c r="I13" i="72"/>
  <c r="I12" i="72"/>
  <c r="I10" i="72"/>
  <c r="I8" i="72"/>
  <c r="E40" i="72"/>
  <c r="E36" i="72"/>
  <c r="E35" i="72"/>
  <c r="E28" i="72"/>
  <c r="E20" i="72"/>
  <c r="E18" i="72"/>
  <c r="E17" i="72"/>
  <c r="E16" i="72"/>
  <c r="E10" i="72"/>
  <c r="E9" i="72"/>
  <c r="E8" i="72"/>
  <c r="E13" i="72"/>
  <c r="E14" i="72"/>
  <c r="E12" i="72"/>
  <c r="I18" i="71"/>
  <c r="D52" i="83"/>
  <c r="E52" i="83"/>
  <c r="D53" i="83"/>
  <c r="E53" i="83"/>
  <c r="D54" i="83"/>
  <c r="E54" i="83"/>
  <c r="D55" i="83"/>
  <c r="E55" i="83"/>
  <c r="D56" i="83"/>
  <c r="E56" i="83"/>
  <c r="D57" i="83"/>
  <c r="E57" i="83"/>
  <c r="D58" i="83"/>
  <c r="E58" i="83"/>
  <c r="D59" i="83"/>
  <c r="E59" i="83"/>
  <c r="D60" i="83"/>
  <c r="E60" i="83"/>
  <c r="D61" i="83"/>
  <c r="E61" i="83"/>
  <c r="C53" i="83"/>
  <c r="C54" i="83"/>
  <c r="C55" i="83"/>
  <c r="C56" i="83"/>
  <c r="C57" i="83"/>
  <c r="C58" i="83"/>
  <c r="C59" i="83"/>
  <c r="C60" i="83"/>
  <c r="C61" i="83"/>
  <c r="G16" i="71"/>
  <c r="H16" i="71"/>
  <c r="F16" i="71"/>
  <c r="K7" i="72"/>
  <c r="L7" i="72"/>
  <c r="K15" i="72"/>
  <c r="L15" i="72"/>
  <c r="K38" i="72"/>
  <c r="L38" i="72"/>
  <c r="G38" i="72"/>
  <c r="H38" i="72"/>
  <c r="G15" i="72"/>
  <c r="H15" i="72"/>
  <c r="G7" i="72"/>
  <c r="H7" i="72"/>
  <c r="C38" i="72"/>
  <c r="D38" i="72"/>
  <c r="C7" i="72"/>
  <c r="D7" i="72"/>
  <c r="O8" i="72"/>
  <c r="P8" i="72"/>
  <c r="O9" i="72"/>
  <c r="P9" i="72"/>
  <c r="O10" i="72"/>
  <c r="P10" i="72"/>
  <c r="O11" i="72"/>
  <c r="P11" i="72"/>
  <c r="O12" i="72"/>
  <c r="P12" i="72"/>
  <c r="O13" i="72"/>
  <c r="P13" i="72"/>
  <c r="O14" i="72"/>
  <c r="P14" i="72"/>
  <c r="O16" i="72"/>
  <c r="P16" i="72"/>
  <c r="O17" i="72"/>
  <c r="P17" i="72"/>
  <c r="O18" i="72"/>
  <c r="P18" i="72"/>
  <c r="P20" i="72"/>
  <c r="O28" i="72"/>
  <c r="P28" i="72"/>
  <c r="O36" i="72"/>
  <c r="P36" i="72"/>
  <c r="O40" i="72"/>
  <c r="P40" i="72"/>
  <c r="N8" i="72"/>
  <c r="N9" i="72"/>
  <c r="N10" i="72"/>
  <c r="N11" i="72"/>
  <c r="N12" i="72"/>
  <c r="N13" i="72"/>
  <c r="N14" i="72"/>
  <c r="N16" i="72"/>
  <c r="N17" i="72"/>
  <c r="N18" i="72"/>
  <c r="N28" i="72"/>
  <c r="N36" i="72"/>
  <c r="E51" i="83"/>
  <c r="D51" i="83"/>
  <c r="C51" i="83"/>
  <c r="F43" i="83"/>
  <c r="F42" i="83"/>
  <c r="F41" i="83"/>
  <c r="E40" i="83"/>
  <c r="D40" i="83"/>
  <c r="C40" i="83"/>
  <c r="E29" i="83"/>
  <c r="D29" i="83"/>
  <c r="F21" i="83"/>
  <c r="F20" i="83"/>
  <c r="F19" i="83"/>
  <c r="E18" i="83"/>
  <c r="D18" i="83"/>
  <c r="C18" i="83"/>
  <c r="F10" i="83"/>
  <c r="D26" i="73"/>
  <c r="C26" i="73"/>
  <c r="F18" i="73"/>
  <c r="F17" i="73"/>
  <c r="F16" i="73"/>
  <c r="E15" i="73"/>
  <c r="D15" i="73"/>
  <c r="F11" i="73"/>
  <c r="F9" i="73"/>
  <c r="F7" i="73"/>
  <c r="F6" i="73"/>
  <c r="F5" i="73"/>
  <c r="E21" i="71"/>
  <c r="E19" i="71"/>
  <c r="E18" i="71"/>
  <c r="E15" i="71"/>
  <c r="E14" i="71"/>
  <c r="E13" i="71"/>
  <c r="E12" i="71"/>
  <c r="E11" i="71"/>
  <c r="E10" i="71"/>
  <c r="E9" i="71"/>
  <c r="I13" i="71"/>
  <c r="I11" i="71"/>
  <c r="I10" i="71"/>
  <c r="I9" i="71"/>
  <c r="M10" i="71"/>
  <c r="M11" i="71"/>
  <c r="M9" i="71"/>
  <c r="L16" i="71"/>
  <c r="L22" i="71"/>
  <c r="H22" i="71"/>
  <c r="D22" i="71"/>
  <c r="P24" i="71"/>
  <c r="P21" i="71"/>
  <c r="P20" i="71"/>
  <c r="P19" i="71"/>
  <c r="P18" i="71"/>
  <c r="P14" i="71"/>
  <c r="P13" i="71"/>
  <c r="P12" i="71"/>
  <c r="P11" i="71"/>
  <c r="P10" i="71"/>
  <c r="P9" i="71"/>
  <c r="C22" i="71"/>
  <c r="J15" i="72"/>
  <c r="F38" i="72"/>
  <c r="J38" i="72"/>
  <c r="B38" i="72"/>
  <c r="F15" i="72"/>
  <c r="F7" i="72"/>
  <c r="J7" i="72"/>
  <c r="B7" i="72"/>
  <c r="K16" i="71"/>
  <c r="N19" i="71"/>
  <c r="N20" i="71"/>
  <c r="N21" i="71"/>
  <c r="O19" i="71"/>
  <c r="O20" i="71"/>
  <c r="O21" i="71"/>
  <c r="O24" i="71"/>
  <c r="O18" i="71"/>
  <c r="O9" i="71"/>
  <c r="O10" i="71"/>
  <c r="O11" i="71"/>
  <c r="O12" i="71"/>
  <c r="O13" i="71"/>
  <c r="O14" i="71"/>
  <c r="O15" i="71"/>
  <c r="F22" i="71"/>
  <c r="G22" i="71"/>
  <c r="J22" i="71"/>
  <c r="K22" i="71"/>
  <c r="B22" i="71"/>
  <c r="B26" i="71" s="1"/>
  <c r="N18" i="71"/>
  <c r="N13" i="71"/>
  <c r="N15" i="71"/>
  <c r="N24" i="71"/>
  <c r="N10" i="71"/>
  <c r="N11" i="71"/>
  <c r="N12" i="71"/>
  <c r="N14" i="71"/>
  <c r="N9" i="71"/>
  <c r="I19" i="151"/>
  <c r="J20" i="163"/>
  <c r="L29" i="163"/>
  <c r="P29" i="163" s="1"/>
  <c r="G30" i="154"/>
  <c r="I30" i="154"/>
  <c r="F247" i="162"/>
  <c r="J28" i="154"/>
  <c r="K20" i="163"/>
  <c r="O20" i="163" s="1"/>
  <c r="D24" i="134"/>
  <c r="D28" i="134" s="1"/>
  <c r="D29" i="134" s="1"/>
  <c r="D15" i="132" l="1"/>
  <c r="D23" i="132" s="1"/>
  <c r="D25" i="132" s="1"/>
  <c r="F186" i="162"/>
  <c r="O15" i="72"/>
  <c r="D8" i="163"/>
  <c r="D34" i="163" s="1"/>
  <c r="F37" i="163"/>
  <c r="F36" i="163" s="1"/>
  <c r="F41" i="159"/>
  <c r="I22" i="71"/>
  <c r="M16" i="71"/>
  <c r="F86" i="162"/>
  <c r="F223" i="162"/>
  <c r="M8" i="163"/>
  <c r="G20" i="146"/>
  <c r="F232" i="162"/>
  <c r="D22" i="133"/>
  <c r="D26" i="133" s="1"/>
  <c r="D27" i="133" s="1"/>
  <c r="D15" i="133"/>
  <c r="B30" i="154"/>
  <c r="Q17" i="72"/>
  <c r="F52" i="83"/>
  <c r="F40" i="73"/>
  <c r="F141" i="162"/>
  <c r="H41" i="72"/>
  <c r="F39" i="73"/>
  <c r="H26" i="71"/>
  <c r="F68" i="162"/>
  <c r="N31" i="163"/>
  <c r="P31" i="163"/>
  <c r="N42" i="163"/>
  <c r="P42" i="163"/>
  <c r="Q44" i="163"/>
  <c r="C37" i="163"/>
  <c r="C36" i="163" s="1"/>
  <c r="O17" i="163"/>
  <c r="D26" i="132"/>
  <c r="D27" i="132" s="1"/>
  <c r="H34" i="163"/>
  <c r="P7" i="72"/>
  <c r="D41" i="72"/>
  <c r="O31" i="163"/>
  <c r="C26" i="71"/>
  <c r="F40" i="83"/>
  <c r="G34" i="163"/>
  <c r="J26" i="71"/>
  <c r="Q21" i="71"/>
  <c r="J41" i="72"/>
  <c r="P22" i="71"/>
  <c r="P38" i="72"/>
  <c r="I16" i="71"/>
  <c r="P20" i="163"/>
  <c r="N9" i="163"/>
  <c r="K26" i="71"/>
  <c r="Q39" i="163"/>
  <c r="H19" i="152"/>
  <c r="H24" i="152" s="1"/>
  <c r="E38" i="163"/>
  <c r="O23" i="163"/>
  <c r="Q20" i="72"/>
  <c r="F31" i="162"/>
  <c r="F241" i="162"/>
  <c r="F214" i="162"/>
  <c r="F245" i="162"/>
  <c r="F132" i="162"/>
  <c r="F22" i="162"/>
  <c r="F59" i="162"/>
  <c r="F49" i="162"/>
  <c r="F13" i="162"/>
  <c r="F150" i="162"/>
  <c r="F242" i="162"/>
  <c r="F243" i="162"/>
  <c r="F249" i="162"/>
  <c r="F40" i="162"/>
  <c r="F250" i="162"/>
  <c r="J30" i="154"/>
  <c r="J16" i="154"/>
  <c r="E28" i="154"/>
  <c r="E30" i="154"/>
  <c r="E16" i="154"/>
  <c r="H36" i="145"/>
  <c r="P23" i="163"/>
  <c r="N38" i="72"/>
  <c r="Q36" i="72"/>
  <c r="Q28" i="72"/>
  <c r="Q26" i="72"/>
  <c r="O38" i="72"/>
  <c r="E38" i="72"/>
  <c r="C41" i="72"/>
  <c r="Q27" i="72"/>
  <c r="Q21" i="72"/>
  <c r="Q18" i="72"/>
  <c r="Q39" i="72"/>
  <c r="Q40" i="72"/>
  <c r="Q22" i="72"/>
  <c r="B41" i="72"/>
  <c r="Q29" i="72"/>
  <c r="E15" i="72"/>
  <c r="Q30" i="72"/>
  <c r="Q14" i="72"/>
  <c r="E7" i="72"/>
  <c r="E22" i="71"/>
  <c r="Q15" i="71"/>
  <c r="Q9" i="71"/>
  <c r="E16" i="71"/>
  <c r="D26" i="71"/>
  <c r="Q43" i="163"/>
  <c r="B37" i="163"/>
  <c r="B36" i="163" s="1"/>
  <c r="N38" i="163"/>
  <c r="E23" i="163"/>
  <c r="Q25" i="163"/>
  <c r="E20" i="163"/>
  <c r="N20" i="163"/>
  <c r="N23" i="163"/>
  <c r="N17" i="163"/>
  <c r="B34" i="163"/>
  <c r="E17" i="163"/>
  <c r="Q10" i="163"/>
  <c r="Q24" i="163"/>
  <c r="Q11" i="163"/>
  <c r="Q27" i="163"/>
  <c r="E42" i="163"/>
  <c r="Q12" i="163"/>
  <c r="J34" i="163"/>
  <c r="P17" i="163"/>
  <c r="Q38" i="163"/>
  <c r="D37" i="163"/>
  <c r="D36" i="163" s="1"/>
  <c r="C8" i="163"/>
  <c r="C34" i="163" s="1"/>
  <c r="Q22" i="163"/>
  <c r="Q13" i="163"/>
  <c r="Q18" i="163"/>
  <c r="Q19" i="163"/>
  <c r="O9" i="163"/>
  <c r="Q9" i="163" s="1"/>
  <c r="E9" i="163"/>
  <c r="N8" i="163"/>
  <c r="K34" i="163"/>
  <c r="I14" i="152"/>
  <c r="I24" i="152" s="1"/>
  <c r="L26" i="71"/>
  <c r="F15" i="73"/>
  <c r="Q16" i="72"/>
  <c r="Q11" i="72"/>
  <c r="I15" i="72"/>
  <c r="M7" i="72"/>
  <c r="F56" i="83"/>
  <c r="D17" i="134"/>
  <c r="D25" i="134" s="1"/>
  <c r="Q30" i="163"/>
  <c r="M37" i="163"/>
  <c r="L34" i="163"/>
  <c r="Q19" i="71"/>
  <c r="P15" i="72"/>
  <c r="F45" i="159"/>
  <c r="N7" i="72"/>
  <c r="Q14" i="71"/>
  <c r="Q20" i="71"/>
  <c r="F14" i="157"/>
  <c r="I20" i="151"/>
  <c r="I25" i="151" s="1"/>
  <c r="L41" i="72"/>
  <c r="M15" i="72"/>
  <c r="N15" i="72"/>
  <c r="Q13" i="72"/>
  <c r="Q12" i="72"/>
  <c r="K41" i="72"/>
  <c r="Q9" i="72"/>
  <c r="O7" i="72"/>
  <c r="Q10" i="72"/>
  <c r="Q8" i="72"/>
  <c r="I7" i="72"/>
  <c r="F41" i="72"/>
  <c r="G41" i="72"/>
  <c r="F38" i="73"/>
  <c r="F26" i="73"/>
  <c r="F44" i="73"/>
  <c r="G26" i="71"/>
  <c r="Q11" i="71"/>
  <c r="F26" i="71"/>
  <c r="Q12" i="71"/>
  <c r="P16" i="71"/>
  <c r="Q13" i="71"/>
  <c r="F49" i="159"/>
  <c r="F14" i="159"/>
  <c r="C50" i="159"/>
  <c r="E50" i="159"/>
  <c r="F34" i="163"/>
  <c r="H36" i="163"/>
  <c r="G36" i="163"/>
  <c r="I37" i="163"/>
  <c r="F51" i="83"/>
  <c r="F54" i="83"/>
  <c r="C62" i="83"/>
  <c r="F29" i="83"/>
  <c r="D62" i="83"/>
  <c r="F53" i="83"/>
  <c r="E62" i="83"/>
  <c r="F18" i="83"/>
  <c r="Q18" i="71"/>
  <c r="N22" i="71"/>
  <c r="N16" i="71"/>
  <c r="O22" i="71"/>
  <c r="O16" i="71"/>
  <c r="Q10" i="71"/>
  <c r="F40" i="157"/>
  <c r="O42" i="163"/>
  <c r="Q46" i="163"/>
  <c r="K36" i="163"/>
  <c r="M36" i="163" s="1"/>
  <c r="Q16" i="163"/>
  <c r="Q28" i="163"/>
  <c r="E36" i="163" l="1"/>
  <c r="Q17" i="163"/>
  <c r="P8" i="163"/>
  <c r="N36" i="163"/>
  <c r="O26" i="71"/>
  <c r="D23" i="133"/>
  <c r="F41" i="157"/>
  <c r="Q7" i="72"/>
  <c r="M26" i="71"/>
  <c r="Q22" i="71"/>
  <c r="O37" i="163"/>
  <c r="O8" i="163"/>
  <c r="I34" i="163"/>
  <c r="Q20" i="163"/>
  <c r="Q42" i="163"/>
  <c r="Q23" i="163"/>
  <c r="N37" i="163"/>
  <c r="E26" i="71"/>
  <c r="I26" i="71"/>
  <c r="Q38" i="72"/>
  <c r="P26" i="71"/>
  <c r="E41" i="72"/>
  <c r="P41" i="72"/>
  <c r="N41" i="72"/>
  <c r="Q15" i="72"/>
  <c r="P36" i="163"/>
  <c r="N34" i="163"/>
  <c r="P34" i="163"/>
  <c r="E34" i="163"/>
  <c r="O34" i="163"/>
  <c r="P37" i="163"/>
  <c r="E8" i="163"/>
  <c r="M34" i="163"/>
  <c r="E37" i="163"/>
  <c r="M41" i="72"/>
  <c r="O41" i="72"/>
  <c r="I41" i="72"/>
  <c r="F48" i="73"/>
  <c r="Q16" i="71"/>
  <c r="F50" i="159"/>
  <c r="I36" i="163"/>
  <c r="F62" i="83"/>
  <c r="N26" i="71"/>
  <c r="O36" i="163"/>
  <c r="Q8" i="163" l="1"/>
  <c r="Q26" i="71"/>
  <c r="Q37" i="163"/>
  <c r="Q41" i="72"/>
  <c r="Q36" i="163"/>
  <c r="Q34" i="163"/>
</calcChain>
</file>

<file path=xl/sharedStrings.xml><?xml version="1.0" encoding="utf-8"?>
<sst xmlns="http://schemas.openxmlformats.org/spreadsheetml/2006/main" count="3245" uniqueCount="724">
  <si>
    <t>1.</t>
  </si>
  <si>
    <t>10.</t>
  </si>
  <si>
    <t>4.</t>
  </si>
  <si>
    <t>7.</t>
  </si>
  <si>
    <t>2.</t>
  </si>
  <si>
    <t>5.</t>
  </si>
  <si>
    <t>9.</t>
  </si>
  <si>
    <t>11.</t>
  </si>
  <si>
    <t>3.</t>
  </si>
  <si>
    <t>6.</t>
  </si>
  <si>
    <t>8.</t>
  </si>
  <si>
    <t>Összesen:</t>
  </si>
  <si>
    <t>21.</t>
  </si>
  <si>
    <t>13.</t>
  </si>
  <si>
    <t>Összesen</t>
  </si>
  <si>
    <t>12.</t>
  </si>
  <si>
    <t xml:space="preserve">Kiemelt előirányzatok </t>
  </si>
  <si>
    <t xml:space="preserve">Összesen </t>
  </si>
  <si>
    <t>Működési kiadások összesen</t>
  </si>
  <si>
    <t xml:space="preserve">Kiadások összesen: </t>
  </si>
  <si>
    <t>Balmazújvárosi többcélú társulás</t>
  </si>
  <si>
    <t>Sor-
szám</t>
  </si>
  <si>
    <t>Bevételi jogcím</t>
  </si>
  <si>
    <t>Sor-szám</t>
  </si>
  <si>
    <t>Kiadási jogcímek</t>
  </si>
  <si>
    <t>14.</t>
  </si>
  <si>
    <t>16.</t>
  </si>
  <si>
    <t>17.</t>
  </si>
  <si>
    <t>15.</t>
  </si>
  <si>
    <t>18.</t>
  </si>
  <si>
    <t>19.</t>
  </si>
  <si>
    <t>20.</t>
  </si>
  <si>
    <t>22.</t>
  </si>
  <si>
    <t>23.</t>
  </si>
  <si>
    <t>24.</t>
  </si>
  <si>
    <t>Egyeki Szöghatár Nonprofit Kft.</t>
  </si>
  <si>
    <t>25.</t>
  </si>
  <si>
    <t>26.</t>
  </si>
  <si>
    <t>27.</t>
  </si>
  <si>
    <t>Tiszacsege Központi Orvosi Ügyelet</t>
  </si>
  <si>
    <t>Önkormányzati Tűzoltóság</t>
  </si>
  <si>
    <t xml:space="preserve"> </t>
  </si>
  <si>
    <t>Az Önkormányzat Pénzügyi mérlege</t>
  </si>
  <si>
    <t xml:space="preserve">KÖLTSÉGVETÉSI BEVÉTELEK ÖSSZESEN: </t>
  </si>
  <si>
    <t>B3 Közhatalmi bevétel</t>
  </si>
  <si>
    <t>B34. Vagyoni típusú adók</t>
  </si>
  <si>
    <t>B35. Termékek és szogáltatások adói</t>
  </si>
  <si>
    <t>B351. Értékesítési és forgalmi adók (állandó jelleggel végzett ipaírűzési tevékenység után fizetett helyi iparűzési adó)</t>
  </si>
  <si>
    <t>B354. Gépjárműadók</t>
  </si>
  <si>
    <t>B355. Egyéb áruhasználati és szolgáltatási adók (talajterhelési díj)</t>
  </si>
  <si>
    <t>B4. Működési bevételek</t>
  </si>
  <si>
    <t>B.5. Felhalmozási bevételek</t>
  </si>
  <si>
    <t>B1. Működési célú támogatások államháztartáson belülről</t>
  </si>
  <si>
    <t>B111. Helyi önkormányzatok működésének általános támogatása</t>
  </si>
  <si>
    <t>B113. Települési önkormányzatok szociális és gyermekjóléti feladatainak támogatása</t>
  </si>
  <si>
    <t>B114. Települési önkormányzatok kulturális feladatainak támogatása</t>
  </si>
  <si>
    <t>B11. Önkormányzatok működési támogatásai</t>
  </si>
  <si>
    <t>B2. Felhalmozási célú támogatások államháztartáson belülről</t>
  </si>
  <si>
    <t xml:space="preserve">B25. Egyéb felhalmozási célú támogatások bevételei államháztartáson belülről </t>
  </si>
  <si>
    <t>B7. Felhalmozási célú átvett pénzeszközök</t>
  </si>
  <si>
    <t>B81. Belföldi finanszírozás bevételei</t>
  </si>
  <si>
    <t>B811. Hitel-, kölcsönfelvétel államháztartáson kívülről</t>
  </si>
  <si>
    <t>B813. Maradvány igénybevétele</t>
  </si>
  <si>
    <t xml:space="preserve">            felhalmozási</t>
  </si>
  <si>
    <t>ebből:    működési</t>
  </si>
  <si>
    <t>B816. Központi, irányítószervi támogatás</t>
  </si>
  <si>
    <t>B8. Finanszírozási bevételek</t>
  </si>
  <si>
    <t>KÖLTSÉGVETÉSI HIÁNY FINANSZÍROZÁSÁRA SZOLGÁLÓ PÉNZF.NÉLKÜLI BEVÉTELEK:</t>
  </si>
  <si>
    <t>B6. Működési célú átvett pénzeszközök</t>
  </si>
  <si>
    <t>A. Költségvetési bevételek összesen</t>
  </si>
  <si>
    <t>B3. Közhatalmi bevétel</t>
  </si>
  <si>
    <t>B5. Felhalmozási bevételek</t>
  </si>
  <si>
    <t>Kormányzati funkciók</t>
  </si>
  <si>
    <t>013350 Az önkormányzati vagyonnal való gazdálk-sal kapcs. Feladatok</t>
  </si>
  <si>
    <t>018010 Önkormányzatok elszámolásai a közp-i ktg.vetéssel</t>
  </si>
  <si>
    <t>900060 Forgatási és befektetési célú finanszírozási műveletek</t>
  </si>
  <si>
    <t>107055 Falugondoki, tanyagondnoki feladatok ellátása</t>
  </si>
  <si>
    <t>041233 Hosszabb időtartamú közfgolalkoztatás</t>
  </si>
  <si>
    <t>041237 Közfogallkoztatási mintaprogram</t>
  </si>
  <si>
    <t>013320 Köztemető fenntartás és működtetés</t>
  </si>
  <si>
    <t>011130 Önkormányzatok és önkormányzati hivatalok jogalkotói és általános igazgatási tevékenysége</t>
  </si>
  <si>
    <t>011220 Adó-, vám és jövedéki igazgatás</t>
  </si>
  <si>
    <t>082042 Könyvtári állomány gyarapítása, nyilvántartása</t>
  </si>
  <si>
    <t>082044 Könyvtári szolgáltatások</t>
  </si>
  <si>
    <t>082063 Múzeumi, kiállítási tevékenység</t>
  </si>
  <si>
    <t>082091 Közművelődési- közösségi és társadalmi részvétel fejlesztése</t>
  </si>
  <si>
    <t>Költségvetési bevétel rovatrend</t>
  </si>
  <si>
    <t>Költségvetési kiadás rovatrand</t>
  </si>
  <si>
    <t>K1. Személyi juttatások</t>
  </si>
  <si>
    <t>K2. Munkaadókat terhelő járulékok és szociális hozzájárulási adók</t>
  </si>
  <si>
    <t>K3. Dologi kiadások</t>
  </si>
  <si>
    <t>K4. Ellátottak pénzbeli juttatásai</t>
  </si>
  <si>
    <t>K6. Beruházások</t>
  </si>
  <si>
    <t>K7. Felújítások</t>
  </si>
  <si>
    <t>K8. Egyéb felhalmozási célú kiadások</t>
  </si>
  <si>
    <t>Felhalmozási kiadások összesen:</t>
  </si>
  <si>
    <t>K512. Tartalékok</t>
  </si>
  <si>
    <t>K5. Egyéb működési célú kiadások (tartalékok nélkül)</t>
  </si>
  <si>
    <t>K9. Finanszírozási kiadások (működési)</t>
  </si>
  <si>
    <t>K9. Finanszírozási kiadások (felhalmozási)</t>
  </si>
  <si>
    <t>ebből: K915. Központi irányítószervi támogatás folyósítása</t>
  </si>
  <si>
    <t xml:space="preserve">K2. Munkaadókat terhelő járulékok és szociális hozzájárulási adó </t>
  </si>
  <si>
    <t xml:space="preserve">K4. Ellátottak pénzbeli juttatásai </t>
  </si>
  <si>
    <t>K512. Tartalék tartalék</t>
  </si>
  <si>
    <t>K9. Finanszírozási kiadások</t>
  </si>
  <si>
    <t>064010 Közvilágítás</t>
  </si>
  <si>
    <t>032020 Tűz és katasztrófavédelmi tevékenységek</t>
  </si>
  <si>
    <t>072111 Háziorvosi alapellátás</t>
  </si>
  <si>
    <t>072112 Háziorvosi ügyeleti ellátás</t>
  </si>
  <si>
    <t>074040 Fertőző megbetegedéseket megel.jár.ü.ell.</t>
  </si>
  <si>
    <t>K2. Munkaadókat terhelő járulékok és szociális hozzájárulási adó</t>
  </si>
  <si>
    <t>B21. Felhalmozási célú önkormányzati támogatások (központosított előirányzatok,  vis maior)</t>
  </si>
  <si>
    <t>K1. Személyi  juttatás</t>
  </si>
  <si>
    <t>K11. Foglalkoztatottak személyi juttatásai</t>
  </si>
  <si>
    <t>K12. Külső személyi juttatások</t>
  </si>
  <si>
    <t>K915. Központi irányítószervi támogatás folyósítás</t>
  </si>
  <si>
    <t xml:space="preserve">K9. Finanszírozási kiadások </t>
  </si>
  <si>
    <t xml:space="preserve">   ebből: közfoglalkoztatás</t>
  </si>
  <si>
    <t>Polgárőrség</t>
  </si>
  <si>
    <t>Temetési kölcsön</t>
  </si>
  <si>
    <t>B111. Helyi önkormányzatok működésének ált.tám-a</t>
  </si>
  <si>
    <t>B113. Telelpülési önkormányzatok szoc.és gyemrekjóléti fel.tám.</t>
  </si>
  <si>
    <t>B114. Telelpülési önkormányzatok kulturális feladatainak tám-a</t>
  </si>
  <si>
    <t>B16.  Egyéb működési célú támogatások bevételei államházt.belülről</t>
  </si>
  <si>
    <t>B21. Felhalmozási célú önkormányzati támogatások</t>
  </si>
  <si>
    <t>B25. Egyéb felhalmozási célú támogatások bevételei államháztartáson belülről</t>
  </si>
  <si>
    <t>B35. Termékek és szolgáltatások adói</t>
  </si>
  <si>
    <t>B351. Értékesítési és forgalmi adók</t>
  </si>
  <si>
    <t>B354. Gépjármű adók</t>
  </si>
  <si>
    <t>B36. Egyéb közhatalmi bevételek</t>
  </si>
  <si>
    <t>B.4.Működési bevételek</t>
  </si>
  <si>
    <t>B.811. Hitel, kölcsön felvétel államháztartáson kívülről</t>
  </si>
  <si>
    <t>K1. Személyi juttatás</t>
  </si>
  <si>
    <t>K4. Ellátottak pénzbeli juttatása</t>
  </si>
  <si>
    <t>K6. Beruházás</t>
  </si>
  <si>
    <t>K7. Felújítás</t>
  </si>
  <si>
    <t>K512. Tartalékok (működési)</t>
  </si>
  <si>
    <t>K512. Tartalékok (felhalmozási)</t>
  </si>
  <si>
    <t>K5. Egyéb működési célú kiadások(tartalék nélkül)</t>
  </si>
  <si>
    <t xml:space="preserve"> KIADÁSOK ÖSSZESEN: </t>
  </si>
  <si>
    <t xml:space="preserve">K5. Egyéb működési célú kiadások </t>
  </si>
  <si>
    <t>B16. Egyéb működési célú támogatások bevételei államháztartáson belülről</t>
  </si>
  <si>
    <t>B8111. Hosszú lejáratú hitelek, kölcsön felvétele</t>
  </si>
  <si>
    <t>084031 Civil szervezetek támogatása</t>
  </si>
  <si>
    <t>Környezetvédelmi pályázati támogatás</t>
  </si>
  <si>
    <t>Tárkányi Béla Könyvt.és Műv.H.</t>
  </si>
  <si>
    <t>Önkormányzat</t>
  </si>
  <si>
    <t>Eredeti e.i.</t>
  </si>
  <si>
    <t>Módosított e.i.</t>
  </si>
  <si>
    <t>Tény</t>
  </si>
  <si>
    <t>Teljesítés %-a</t>
  </si>
  <si>
    <t>Bevételi jogcímek</t>
  </si>
  <si>
    <t>Módosítot e.i.</t>
  </si>
  <si>
    <t>011220 Adó-, vám és jövedéki igazolás</t>
  </si>
  <si>
    <t>Tárkányi Béla Könyvtár és Művelődési Ház</t>
  </si>
  <si>
    <t>Eredei e.i.</t>
  </si>
  <si>
    <t>Eredet e.i.</t>
  </si>
  <si>
    <t>083030 Egyéb kiadói tevékenység</t>
  </si>
  <si>
    <t>Módósított e.i.</t>
  </si>
  <si>
    <t>Tárkányi Béla Könytár és Művelődési ház</t>
  </si>
  <si>
    <t>28.</t>
  </si>
  <si>
    <t>29.</t>
  </si>
  <si>
    <t>30.</t>
  </si>
  <si>
    <t>072210 Járóbetegek gyógyító szakelátása</t>
  </si>
  <si>
    <t>B8113. Rövid lejáratú hitelek, kölcsönök felvétele</t>
  </si>
  <si>
    <t>011130 Önkormányzatok és önkormányzati hivatalok jogalkotói és általános igazg.tevékenysége</t>
  </si>
  <si>
    <t>072210 Járóbeteg gyógyító szakellátás</t>
  </si>
  <si>
    <t>104051 Gyermekvédelmi pénzbeli és természetbeni ellátások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</si>
  <si>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</si>
  <si>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</si>
  <si>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</si>
  <si>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</si>
  <si>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</si>
  <si>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</si>
  <si>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</si>
  <si>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</si>
  <si>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</si>
  <si>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K512. Tartalékok ( működési)</t>
  </si>
  <si>
    <t xml:space="preserve">   ebből: választott tisztségviselők juttatásai </t>
  </si>
  <si>
    <t>Egyek Nagyközség Önkormányzata</t>
  </si>
  <si>
    <t>Megnevezés</t>
  </si>
  <si>
    <t>Összeg:</t>
  </si>
  <si>
    <t>Az állami támogatásokkal és hozzájárulásokkal, valamint az egyéb állami pénzalapokkal kapcsolatos elszámolások</t>
  </si>
  <si>
    <t>Visszafizetési kötelezettség</t>
  </si>
  <si>
    <t>adatok forintban</t>
  </si>
  <si>
    <t>Költségvetési törvény alapján feladatellátás támogatása</t>
  </si>
  <si>
    <t>Támogatás összesen:</t>
  </si>
  <si>
    <t>-</t>
  </si>
  <si>
    <t>Sorszám</t>
  </si>
  <si>
    <t>Nem lejárt</t>
  </si>
  <si>
    <t>Lejárat</t>
  </si>
  <si>
    <t>1-90 nap között</t>
  </si>
  <si>
    <t>91-180 nap között</t>
  </si>
  <si>
    <t>181-360 nap között</t>
  </si>
  <si>
    <t>360 napon túli</t>
  </si>
  <si>
    <t>Összes lejárt tartozás</t>
  </si>
  <si>
    <t>Tartozás minösszsen</t>
  </si>
  <si>
    <t>8.=(4+…+7)</t>
  </si>
  <si>
    <t>9.=(3+8)</t>
  </si>
  <si>
    <t>( kedvezmények)</t>
  </si>
  <si>
    <t>adatok Ft-ban</t>
  </si>
  <si>
    <t>Kedvezmény nélkül elérhető bevétel</t>
  </si>
  <si>
    <t>Kedvezmények összege</t>
  </si>
  <si>
    <t>Ellátottak térítési díjának elengedése</t>
  </si>
  <si>
    <t>Ellátottak kártérítésének elengedése</t>
  </si>
  <si>
    <t>Lakosság részére lakásépítéshez nyújtott kölcsön elengedése</t>
  </si>
  <si>
    <t>Lakosság részére lakásfelújításhoz nyújtott kölcsön elengedése</t>
  </si>
  <si>
    <t>…………..-ból biztosított kedvezmény, mentesség*</t>
  </si>
  <si>
    <t>Gépjárműadóból biztosított kedvezmény, mentesség 1991.évi LXXXII.tv.5§.</t>
  </si>
  <si>
    <t>Eszközök hasznosítása utáni kedvezmény, menteség</t>
  </si>
  <si>
    <t>Egyéb kedvezmény</t>
  </si>
  <si>
    <t>Egyéb kölcsön elengedése</t>
  </si>
  <si>
    <t>Kommunális adó kedvezmény:</t>
  </si>
  <si>
    <t xml:space="preserve"> 15.1.</t>
  </si>
  <si>
    <t xml:space="preserve">Időskorúak járadékában részesülők/Egyek Nagyközség Önkormányzat Képviselő Testületének 11/2007(III.29) sz. rendelet 5§(1)a.) </t>
  </si>
  <si>
    <t xml:space="preserve"> 70 éven felüliek/ Egyek Nagyközség Önkormányzat Képviselő Testületének 11/2007(III.29) sz. rendelet 5§(1)b.)</t>
  </si>
  <si>
    <t xml:space="preserve"> 15.2.</t>
  </si>
  <si>
    <t xml:space="preserve"> Készenléti szolgálatot ellátó önkéntes tűzoltók / Egyek Nagyközség Önkormányzat Képviselő Testületének 11/2007(III.29) sz. rendelet 5§(1)c.)</t>
  </si>
  <si>
    <t>18. életévet be nem töltött magánszemélyek / Egyek Nagyközség Önkormányzat Képviselő Testületének 11/2007. (III.29.) sz. rendelet 5.§. (1) d.)</t>
  </si>
  <si>
    <t>Talajterhelési díj kedvezmény:</t>
  </si>
  <si>
    <t>*</t>
  </si>
  <si>
    <t>A helyi adókból biztosított kedvezményeket, mentességeket, adónemenként kell feltüntetni.</t>
  </si>
  <si>
    <t xml:space="preserve">Összeg </t>
  </si>
  <si>
    <t>ebből: Bankszámlák egyenlege</t>
  </si>
  <si>
    <t>Pénztárak és betétkönyvek egyenlege</t>
  </si>
  <si>
    <t>Bevételek:</t>
  </si>
  <si>
    <t>Kiadások:</t>
  </si>
  <si>
    <t>Záró pénzkészlet</t>
  </si>
  <si>
    <t xml:space="preserve">             </t>
  </si>
  <si>
    <t>VAGYONKIMUTATÁS</t>
  </si>
  <si>
    <t>a könyvviteli mérlegben értékkel szereplő eszközökről</t>
  </si>
  <si>
    <t>ESZKÖZÖK</t>
  </si>
  <si>
    <t>Bruttó</t>
  </si>
  <si>
    <t xml:space="preserve">Könyv szerinti </t>
  </si>
  <si>
    <t>állományi érték</t>
  </si>
  <si>
    <t>01.</t>
  </si>
  <si>
    <t>02.</t>
  </si>
  <si>
    <t>03.</t>
  </si>
  <si>
    <t>04.</t>
  </si>
  <si>
    <t>05.</t>
  </si>
  <si>
    <t>06.</t>
  </si>
  <si>
    <t>07.</t>
  </si>
  <si>
    <t>08.</t>
  </si>
  <si>
    <t>I. Készletek</t>
  </si>
  <si>
    <t>II. Értékpapírok</t>
  </si>
  <si>
    <t>Adósságállomány eszközök szerint</t>
  </si>
  <si>
    <t>I. Belföldi hitelezők</t>
  </si>
  <si>
    <t>Adóhatósággal szembeni tartozás</t>
  </si>
  <si>
    <t>Központi költségvetéssel szemben fennálló tartozás</t>
  </si>
  <si>
    <t>Elkülönített állami pénzalapokkal szembeni tartozás</t>
  </si>
  <si>
    <t>TB alapokkal szembeni tartozás</t>
  </si>
  <si>
    <t>Tartozásállomány önkormányzatok és intézmények felé</t>
  </si>
  <si>
    <t>Szállítói tartozás</t>
  </si>
  <si>
    <t>Egyéb adósság</t>
  </si>
  <si>
    <t>Belföldi összesen:</t>
  </si>
  <si>
    <t>II. Külföldi hitelezők</t>
  </si>
  <si>
    <t>Külföldi szállítók</t>
  </si>
  <si>
    <t>Külföldi összesen</t>
  </si>
  <si>
    <t>Adósságállomány mindösszesen:</t>
  </si>
  <si>
    <t>B</t>
  </si>
  <si>
    <t>09.</t>
  </si>
  <si>
    <t>Használatban lévő kisértékű immateriális javak</t>
  </si>
  <si>
    <t>Használatban lévő kisértékű tárgyi eszközök</t>
  </si>
  <si>
    <t>Készletek</t>
  </si>
  <si>
    <t>Államháztartáson belüli vagyonkezelésbe adott eszközök</t>
  </si>
  <si>
    <t>Bérbe vett befektetett eszközök</t>
  </si>
  <si>
    <t>Letétbe, bizományba, üzemeltetésre átvett befektetett eszközök</t>
  </si>
  <si>
    <t> PPP konstrukcióban használt befektetett eszközök</t>
  </si>
  <si>
    <t> Bérbe vett készletek</t>
  </si>
  <si>
    <t> Letétbe bizományba átvett készletek</t>
  </si>
  <si>
    <t> Intervenciós készletek</t>
  </si>
  <si>
    <t>Közgyűjtemény</t>
  </si>
  <si>
    <t> Saját gyűjteményben nyilvántartott kulturális javak</t>
  </si>
  <si>
    <t> Régészeti lelet</t>
  </si>
  <si>
    <t> Egyéb érték nélkül nyilvántartott eszközök</t>
  </si>
  <si>
    <t>* Nvt. 1. § (2) bekezdés g) és h) pontja szerinti kulturális javak és régészeti eszközök</t>
  </si>
  <si>
    <t>Gazdálkodó szervezet megnevezése</t>
  </si>
  <si>
    <t>Részesedés mértéke (%-ban)</t>
  </si>
  <si>
    <t>Részesedés összege (Ft-ban)</t>
  </si>
  <si>
    <t xml:space="preserve">       ÖSSZESEN:</t>
  </si>
  <si>
    <t>Kiadások</t>
  </si>
  <si>
    <t>Bevételek</t>
  </si>
  <si>
    <t>Müködési kiadások</t>
  </si>
  <si>
    <t>Működési bevételek</t>
  </si>
  <si>
    <t>Müködési kiadás összesen:</t>
  </si>
  <si>
    <t>Müködési bevétel összesen:</t>
  </si>
  <si>
    <t>Felhalmozási kiadások</t>
  </si>
  <si>
    <t>Felhalmozási bevételek</t>
  </si>
  <si>
    <t>Felhalmozási kiadás összesen:</t>
  </si>
  <si>
    <t>Felhalmozási bevétel összesen:</t>
  </si>
  <si>
    <t>M i n d ö s s z e s e n  :</t>
  </si>
  <si>
    <t>Telj. %-a</t>
  </si>
  <si>
    <t>Alaptevékenység költségvetési bevételei</t>
  </si>
  <si>
    <t>Alaptevékenység költségvetési kiadásai</t>
  </si>
  <si>
    <t>I. Alaptevékenység költségvetési egyenlege</t>
  </si>
  <si>
    <t>Alaptevékenység finanszírozás bevételei</t>
  </si>
  <si>
    <t>Alaptevékenység finanszírozás kiadásai</t>
  </si>
  <si>
    <t>II. Alaptevékenység finanszírozási egyenlege</t>
  </si>
  <si>
    <t>A) Alaptevékenység maradványa ( I+-II)</t>
  </si>
  <si>
    <t>Vállalkozási tevékenység költségvetési bevételei</t>
  </si>
  <si>
    <t>Vállalkozási tevékenység költségvetési kaidásai</t>
  </si>
  <si>
    <t>III. Vállalkozási tevékenység költségvetési egyenlege</t>
  </si>
  <si>
    <t>Vállalkozási tevékenység finanszírozási bevételei</t>
  </si>
  <si>
    <t>Vállalkozási tevékenység finanszírozási kiadásai</t>
  </si>
  <si>
    <t>IV. Vállalkozási tevékenység finanszírozási egyenlege</t>
  </si>
  <si>
    <t>B) Vállalkozási tevékenység maradványa (III+-IV)</t>
  </si>
  <si>
    <t>C) Összese maradvány ( A+B)</t>
  </si>
  <si>
    <t>D)Alaptevékenység kötelezettségvállalással terh. Maradványa</t>
  </si>
  <si>
    <t>E) Alaptevékenység szabad maradványa</t>
  </si>
  <si>
    <t>F) Vállalkozási tevékenységet terhelő befizetési kötelezettség ( B*0,1)</t>
  </si>
  <si>
    <t>G)Vállalkozási tevékenység felhasználható maradványa</t>
  </si>
  <si>
    <t>018030 Támogatási célú finanszírozási  műveletek</t>
  </si>
  <si>
    <t>074051 nem fertőző megbetegedések megelőzése</t>
  </si>
  <si>
    <t>018030 Támogatási célú finanszírozási műveletek</t>
  </si>
  <si>
    <t>Kiadások 2.sz. melléklet alapján:</t>
  </si>
  <si>
    <t>Kiadások 2. sz. melléklet alapján:</t>
  </si>
  <si>
    <t>Települési önkormányzatok nyilvános könyvtári és közművelődési feladatainak támogatása</t>
  </si>
  <si>
    <t xml:space="preserve">Egyes szociális és gyermekjóléti feladatok támogatása / Tanyagondnoki feladatok ellátása/ </t>
  </si>
  <si>
    <t xml:space="preserve"> I. Immateriális javak </t>
  </si>
  <si>
    <t>II. Tárgyi eszközök (03+08+13+18+23)</t>
  </si>
  <si>
    <t>1. Ingatlanok és kapcsolódó vagyoni értékű jogok   (04+05+06+07)</t>
  </si>
  <si>
    <t>1.1. Forgalomképtelen ingatlanok és kapcsolódó vagyoni értékű jogok</t>
  </si>
  <si>
    <t>1.2. Nemzetgazdasági szempontból kiemelt jelentőségű ingatlanok és kapcsolódó 
       vagyoni értékű jogok</t>
  </si>
  <si>
    <t>1.3. Korlátozottan forgalomképes ingatlanok és kapcsolódó vagyoni értékű jogok</t>
  </si>
  <si>
    <t>1.4. Üzleti ingatlanok és kapcsolódó vagyoni értékű jogok</t>
  </si>
  <si>
    <t>2. Gépek, berendezések, felszerelések, járművek (09+10+11+12)</t>
  </si>
  <si>
    <t>2.1. Forgalomképtelen gépek, berendezések, felszerelések, járművek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</si>
  <si>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</si>
  <si>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</si>
  <si>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</si>
  <si>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</si>
  <si>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</si>
  <si>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</si>
  <si>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</si>
  <si>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</si>
  <si>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</si>
  <si>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</si>
  <si>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</si>
  <si>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</si>
  <si>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</si>
  <si>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</si>
  <si>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</si>
  <si>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</si>
  <si>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</si>
  <si>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</si>
  <si>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</si>
  <si>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1. Tartós részesedések (30+31+32+33)</t>
  </si>
  <si>
    <t>1.1. Forgalomképtelen tartós részesedések</t>
  </si>
  <si>
    <t>1.2. Nemzetgazdasági szempontból kiemelt jelentőségű tartós részesedések</t>
  </si>
  <si>
    <t>1.3. Korlátozottan forgalomképes tartós részesedések</t>
  </si>
  <si>
    <t>1.4. Üzleti tartós részesedések</t>
  </si>
  <si>
    <t>2. Tartós hitelviszonyt megtestesítő értékpapírok (35+36+37+38)</t>
  </si>
  <si>
    <t>2.1. Forgalomképtelen tartós hitelviszonyt megtestesítő értékpapírok</t>
  </si>
  <si>
    <t>2.2. Nemzetgazdasági szempontból kiemelt jelentőségű tartós hitelviszonyt 
       megtestesítő értékpapírok</t>
  </si>
  <si>
    <t>2.3. Korlátozottan forgalomképes tartós hitelviszonyt megtestesítő értékpapírok</t>
  </si>
  <si>
    <t>2.4. Üzleti tartós hitelviszonyt megtestesítő értékpapírok</t>
  </si>
  <si>
    <t>3. Befektetett pénzügyi eszközök értékhelyesbítése (40+41+42+43)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</si>
  <si>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</si>
  <si>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</si>
  <si>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</si>
  <si>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</si>
  <si>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</si>
  <si>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</si>
  <si>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</si>
  <si>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</si>
  <si>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</si>
  <si>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</si>
  <si>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</si>
  <si>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</si>
  <si>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46.</t>
  </si>
  <si>
    <t>47.</t>
  </si>
  <si>
    <t>B) NEMZETI VAGYONBA TARTOZÓ FORGÓESZKÖZÖK (46+47)</t>
  </si>
  <si>
    <t>48.</t>
  </si>
  <si>
    <t>I. Lekötött bankbetétek</t>
  </si>
  <si>
    <t>49.</t>
  </si>
  <si>
    <t>II. Pénztárak, csekkek, betétkönyvek</t>
  </si>
  <si>
    <t>50.</t>
  </si>
  <si>
    <t>III. Forintszámlák</t>
  </si>
  <si>
    <t>51.</t>
  </si>
  <si>
    <t>IV. Devizaszámlák</t>
  </si>
  <si>
    <t>52.</t>
  </si>
  <si>
    <t>53.</t>
  </si>
  <si>
    <t>54.</t>
  </si>
  <si>
    <t>62.</t>
  </si>
  <si>
    <t>Hortobágyi LEADER Nonprofit Kft.</t>
  </si>
  <si>
    <t>Érték vesztés összege</t>
  </si>
  <si>
    <t>K1. Személyi jellegű juttatások</t>
  </si>
  <si>
    <t>B1. Működési c.támogatások áh.belülről</t>
  </si>
  <si>
    <t>K3.Dologi kiadások</t>
  </si>
  <si>
    <t>K5.Egyéb működési célú kiadások</t>
  </si>
  <si>
    <t>ebből: tartalék (működési)</t>
  </si>
  <si>
    <t>B8. Finanszírozási bevételek (működési)</t>
  </si>
  <si>
    <t>B2. Felhalmozási c.támogatások áh.belülről</t>
  </si>
  <si>
    <t>K8. Egyéb felhalmozási c.kiadások</t>
  </si>
  <si>
    <t>B7. Felhalmozási célú átvett pénzeszköz</t>
  </si>
  <si>
    <t>B8. Finanszírozási bevételek (felhalmozási)</t>
  </si>
  <si>
    <t>K512. Tartalék (felhalmozási)</t>
  </si>
  <si>
    <t>ebből:felhalmozási célú hitelfelvétel</t>
  </si>
  <si>
    <t>B814. Államháztartáson belüli megelőlegezések</t>
  </si>
  <si>
    <t>B814 Államháztartáson belüli megelőlegezések</t>
  </si>
  <si>
    <t>5</t>
  </si>
  <si>
    <t>3</t>
  </si>
  <si>
    <t>6</t>
  </si>
  <si>
    <t>7</t>
  </si>
  <si>
    <t>C) PÉNZESZKÖZÖK (49+50+51+52+53)</t>
  </si>
  <si>
    <t>„0”-ra leírt eszközök:</t>
  </si>
  <si>
    <t xml:space="preserve">                            ingatlanok</t>
  </si>
  <si>
    <r>
      <t xml:space="preserve">              </t>
    </r>
    <r>
      <rPr>
        <sz val="8"/>
        <rFont val="Times New Roman"/>
        <family val="1"/>
        <charset val="238"/>
      </rPr>
      <t xml:space="preserve">  ebből:  immateriális javak</t>
    </r>
  </si>
  <si>
    <t>Gyűjtemény, régészeti lelet* (18…+21)</t>
  </si>
  <si>
    <t> 02 számlacsoportban nyilvántartott készletek (14+…+16)</t>
  </si>
  <si>
    <t>01 számlacsoportban nyilvántartott befektetett eszközök (9…+12)</t>
  </si>
  <si>
    <t xml:space="preserve">                            gépek, berendezések felszerelések, járművek</t>
  </si>
  <si>
    <t>Összesen (1+5+6+7+8+13+17):</t>
  </si>
  <si>
    <t>Mérlegben kimutatandó érték</t>
  </si>
  <si>
    <t>4</t>
  </si>
  <si>
    <t>B115 Működési célú költségvetési támogatások és kiegészítő támogatások</t>
  </si>
  <si>
    <t>B74. Felhalmozási célú visszatérítendő támogatások, kölcsönök visszatérülése államháztartáson kívülről</t>
  </si>
  <si>
    <t xml:space="preserve">B75. Egyéb felhalmozási célú átvett pénzeszközök </t>
  </si>
  <si>
    <t xml:space="preserve">B8112 Likvidítási célú hitelek,kölcsönök felvétele </t>
  </si>
  <si>
    <t>K914 Államháztartáson belüli megelőlegezések visszafizetése</t>
  </si>
  <si>
    <t>B115. Működési célú költségvetési támogatások és kiegészítő támogatások</t>
  </si>
  <si>
    <t>B75. Egyéb felhalmozási célú átvett pénzeszközök</t>
  </si>
  <si>
    <t>K9 Finanszírozási kiadások (működési)</t>
  </si>
  <si>
    <t>041233 Hosszabb időtartamú közfoglalkoztatás</t>
  </si>
  <si>
    <t>044320 Építőipar támogatása</t>
  </si>
  <si>
    <t>045160 Közutak,hidak alagutak üzemeltetése fenntartása</t>
  </si>
  <si>
    <t>066020 Város -, községgazdálkodási egyéb szolgáltatások</t>
  </si>
  <si>
    <t>107055  Falugondnoki,tanyagondnoki szolgáltatás</t>
  </si>
  <si>
    <t>900020 Önkormányzatok funkcióra nem sorolható bevételei</t>
  </si>
  <si>
    <t>107060 Egyéb szociális pénzbeli és természetbeni ellátások támogatások</t>
  </si>
  <si>
    <t>011130 Önkormányzatok és önkormányzati hivatalok jogalkotó és általános igazgatási tevékenysége</t>
  </si>
  <si>
    <t>013320 Köztemető-fenntartás és - működtetés</t>
  </si>
  <si>
    <t>045160 Közutak,hidak,alagutak üzemeltetése fenntartása</t>
  </si>
  <si>
    <t>051040 Nem veszélyes hulladék kezelése,ártalmatlanítása</t>
  </si>
  <si>
    <t>066020 Város-,közsséggazdálkodási egyéb szolgáltatások</t>
  </si>
  <si>
    <t>082091 Közművelődés-közösségi és társadalmi részvétel fejlesztése</t>
  </si>
  <si>
    <t>104060 A gyermek és fiatal családok életmin. Javító programok</t>
  </si>
  <si>
    <t>106010 Lakóingatlan szociális célú bérbeadása üzemeltetése</t>
  </si>
  <si>
    <t>107060 Egyéb szociális pénzbeli és természetbeni ellátások,támogatások</t>
  </si>
  <si>
    <t>900020 Önkormányzatok funkcióra nem sorolható bevételei államháztartáson kívülről</t>
  </si>
  <si>
    <t>Települési önkormányzatok szociális feladatainak egyéb támogatása</t>
  </si>
  <si>
    <t>Települési önkormányzatok működésének támogatása</t>
  </si>
  <si>
    <t>Nemezeti Vagyonba tartozó befektetett eszközök, forgóeszközök és pénzeszközök  összesen: (45+48+53)</t>
  </si>
  <si>
    <t>NHSZ Tisza Nonprofit Kft.</t>
  </si>
  <si>
    <t>Hajdú-Bihari Önkormányzatok Vízmű Zrt. " v.a."</t>
  </si>
  <si>
    <t>Tiszamenti Regionális Vízművek Zrt.</t>
  </si>
  <si>
    <t>Költségvetési kiadások összesen</t>
  </si>
  <si>
    <t>Költségvetési bevételek összesen</t>
  </si>
  <si>
    <t>7.1. számú melléklet a Zárszámadási rendelet 8. §-ához</t>
  </si>
  <si>
    <t>7. 2. számú melléklet a Zárszámadási rendelet 8. §-ához</t>
  </si>
  <si>
    <t>7.3. számú melléklet a Zárszámadási rendelet 8. §-ához</t>
  </si>
  <si>
    <t>Egyeki Polgármesteri Hivatal</t>
  </si>
  <si>
    <t xml:space="preserve">Egyeki Polgármesteri Hivatal </t>
  </si>
  <si>
    <t>2018.</t>
  </si>
  <si>
    <t>Bevételek 1. számú melléklet alapján előző évi pénzmaradvány nélkül:</t>
  </si>
  <si>
    <t>adatok forinban</t>
  </si>
  <si>
    <t>B14 Működési célú visszatérítendő támogatások kölcsönök visszatérülése áh.belülről</t>
  </si>
  <si>
    <t>B116 Elszámolásból származó bevételek</t>
  </si>
  <si>
    <t>B311 Magánszemélyek jövedelemadói</t>
  </si>
  <si>
    <t>adatok  forintban</t>
  </si>
  <si>
    <t xml:space="preserve">adatok forintban </t>
  </si>
  <si>
    <t xml:space="preserve">Elvonások, befizetések </t>
  </si>
  <si>
    <t>Kötelezettség jellegű sajátos elszámolások</t>
  </si>
  <si>
    <t>Követelés jellegű sajátos elszámolások</t>
  </si>
  <si>
    <t>Kötelezettség jellegű sajátos elszámolás</t>
  </si>
  <si>
    <t xml:space="preserve">Bevételek 1. sz. melléklet alapján előző évi pénzmaradvány nélkül: </t>
  </si>
  <si>
    <t>ebből:maradvány igénybevétele</t>
  </si>
  <si>
    <t>ebből:államháztartáson belüli megelőlegezések</t>
  </si>
  <si>
    <t>042180 Állat-egészségügy</t>
  </si>
  <si>
    <t>052020  Szennyvíz gyűjtése,tisztítása,elhelyezése</t>
  </si>
  <si>
    <t>074051 Nem fertőző megbetegedések megelőzése</t>
  </si>
  <si>
    <t>082091 Közművelődés-közöségi és társadalmi részvétel fejlesztése</t>
  </si>
  <si>
    <t>086030 Nemzetközi kulturális együttműködés</t>
  </si>
  <si>
    <t>104037 Intézményen kívüli gyermekétkeztetés</t>
  </si>
  <si>
    <t>B116. Elszámolásból származó bevételek</t>
  </si>
  <si>
    <t>B14. Működési célú visszatérítendő támogatások, kölcsönök visszatérülése áh-n belülről</t>
  </si>
  <si>
    <t>B31. Magánszemélyek jövedelemadói</t>
  </si>
  <si>
    <t>Kétöklű Szociális Szövetkezet</t>
  </si>
  <si>
    <t>Hitelszerződés száma</t>
  </si>
  <si>
    <t>Kölcsönszerződés szerinti összeg</t>
  </si>
  <si>
    <t>További évek törlésztőrészlet</t>
  </si>
  <si>
    <t>12114/3</t>
  </si>
  <si>
    <t>Zúzott kő finanszírozása</t>
  </si>
  <si>
    <t>12114/10</t>
  </si>
  <si>
    <t>Beton elem előregyártó csarnok pályázathoz kapcsolódó kiviteli terv készítése</t>
  </si>
  <si>
    <t>12114/7</t>
  </si>
  <si>
    <t>Műfüves labdarugópálya pályázati tervdokumentáció elkészítésének finanszírozása</t>
  </si>
  <si>
    <t>12114/11</t>
  </si>
  <si>
    <t>Alacsony vételárú ingatlanok megvásárlása</t>
  </si>
  <si>
    <t>12114/8</t>
  </si>
  <si>
    <t>Horgászturizmushoz kapcsolódó pihenőpark kialakítása önerő fedezet</t>
  </si>
  <si>
    <t>70112115/15</t>
  </si>
  <si>
    <t>701330062016</t>
  </si>
  <si>
    <t>70112115/18</t>
  </si>
  <si>
    <t>70112115/19</t>
  </si>
  <si>
    <t>B36. Egyéb közhatalmi bevételek (bírság, pótlék, mezőőri díj, ebrendészeti hj.)</t>
  </si>
  <si>
    <t>051040 Nem veszélyes hulladék kezelése, ártalmatlanítása</t>
  </si>
  <si>
    <t>084031 Civil szervezetek működési támogatása</t>
  </si>
  <si>
    <t xml:space="preserve">Egyéb műk.c. támogatás ÁH-on kívülrere </t>
  </si>
  <si>
    <t>11.1</t>
  </si>
  <si>
    <t>11.2</t>
  </si>
  <si>
    <t>Helyiségek hasznosítása utáni kedvezmény, menteség terembéreleti díj összegét megállapító határozat alapján</t>
  </si>
  <si>
    <t>Egyek Nagyközség Önkormányzatata és az Egyeki Szöghatár Nonprofit Kft. között 2014. február 18.-án kelt 1617/2014. iktatószámú megállapodás alapján /Konyha helyiség/</t>
  </si>
  <si>
    <t>Egyek Nagyközség Önkormányzatata és az Egyeki Szöghatár Nonprofit Kft. között 2014. február 18.-án kelt 1617/2014. iktatószámú megállapodás alapján /rendezvényterem/</t>
  </si>
  <si>
    <t>2017. év</t>
  </si>
  <si>
    <t>Hitelszámla száma</t>
  </si>
  <si>
    <t>70100121-20905684</t>
  </si>
  <si>
    <t>70100121-20911809</t>
  </si>
  <si>
    <t>70100121-201911847</t>
  </si>
  <si>
    <t>70100121-20911823</t>
  </si>
  <si>
    <t>70100121-20974253</t>
  </si>
  <si>
    <t>Csapadékvíz támogatási előleg visszafieztésére igénybevett hitel</t>
  </si>
  <si>
    <t>70100121-20911782</t>
  </si>
  <si>
    <t>70100121-20974291</t>
  </si>
  <si>
    <t>Önkormányzati tulajdonú ingatlan fűtéskorszerűsítés</t>
  </si>
  <si>
    <t>70100121-20439697</t>
  </si>
  <si>
    <t>Műfüves labdarugó pálya kialakítása</t>
  </si>
  <si>
    <t>70100121-20979605</t>
  </si>
  <si>
    <t>Gyepmesteri telep építése Egyekencímű Leader pályázat önerő finanszírozása</t>
  </si>
  <si>
    <t>LÓDOBOGÁS Szociális Szövetkezet</t>
  </si>
  <si>
    <t>Kulturális illetménypótlék</t>
  </si>
  <si>
    <t xml:space="preserve">Mindösszesen: </t>
  </si>
  <si>
    <t xml:space="preserve">Központi költségvetésből támogatásként rendelkezésre bocsátott összeg </t>
  </si>
  <si>
    <t>Az önkormányzat által fel nem használt, de a 2018. évben jogszerűen elhasználható összeg</t>
  </si>
  <si>
    <t>Önkormányzatok rendkívüli támogatása (REKI)</t>
  </si>
  <si>
    <t>Az önkormányzat által az adott célra ténylegesen felhasznált összeg</t>
  </si>
  <si>
    <t>Szociális ágazati összevont pótlék</t>
  </si>
  <si>
    <t>A helyi önkormányzatok kiegészítő támogatásainak és egyéb kötött felhasználású támogatásainak elszámolása</t>
  </si>
  <si>
    <t>Közművelődési érdekeletségnövelő támogatás</t>
  </si>
  <si>
    <t>Eltérés: fel nem használt, visszafizetendő összeg</t>
  </si>
  <si>
    <t>Helyi önkormányzatok felhalmozási célú költségvetési támogatásai összesen</t>
  </si>
  <si>
    <t xml:space="preserve">Tényleges támogatás </t>
  </si>
  <si>
    <t>Az önkormányzat által az adott célra december 31-ig ténylegesen felhasznált összeg</t>
  </si>
  <si>
    <t>Nem közművel összegyűjtött háztartási szennyvíz ártalmatlanítása</t>
  </si>
  <si>
    <t>Támogatás évközi módosítása</t>
  </si>
  <si>
    <t>Visszafizetési kötelezettség/Többletigény</t>
  </si>
  <si>
    <t xml:space="preserve">Rászoruló gyermekek szünidei étkeztetése </t>
  </si>
  <si>
    <t>Értéke                   2017. év</t>
  </si>
  <si>
    <t>Egyek Nagyközség Önkormányzata és általa irányított költségvetési szervek eszközeiről készített</t>
  </si>
  <si>
    <t>Egyek Nagyközség Önkormányzat és költségvetési szervei 2018. évi bevételei forrásonként, főbb jogcím-csoportonkénti részletezettségben</t>
  </si>
  <si>
    <t>Tárkányi Béla Könyvtár és Művelődési Ház 2018. évi bevételei kormányzati funkcók szerinti bontásban</t>
  </si>
  <si>
    <t>082091 Közművelődés - közösségi és társadalmi részvétel fejlesztése</t>
  </si>
  <si>
    <t>Tárkányi Béla Könyvtár és Művelődési Ház 2018. évi bevételei kormányzati funkciók szerinti bontásban kötelezően ellátandó feladatonként</t>
  </si>
  <si>
    <t>Maradvány kimutatás 2018. évre</t>
  </si>
  <si>
    <t>Tárkányi Bála Könyvtár és Művelődési Ház 2018. év végi adósságállományának bemutatás</t>
  </si>
  <si>
    <t xml:space="preserve">Egyek Nagyközség Önkormányzata 2018. évben nyújtott közvetett támogatásának teljesülése
</t>
  </si>
  <si>
    <t>Tárkányi Béla Könyvtár és Művelődési Ház 2018. évi pénzeszközeinek változása</t>
  </si>
  <si>
    <t>Egyek Nagyközség Önkormányzata 2018. év végi adósságállományának bemutatása</t>
  </si>
  <si>
    <t xml:space="preserve">Egyeki Polgármesteri Hivatal 2018. év végi adósságállományának bemutatása
</t>
  </si>
  <si>
    <t>Tartozás mindösszsen</t>
  </si>
  <si>
    <t>Pénzkészlet 2018. Január 1-jén</t>
  </si>
  <si>
    <t>Egyek Nagyközség Önkormányzata 2018.évi péneszközeinek változása</t>
  </si>
  <si>
    <t>Sajátos elszámolások 2018. január 1-jén</t>
  </si>
  <si>
    <t>Egyeki Polgármesteri Hivatal 2018. évi péneszközeinek változása</t>
  </si>
  <si>
    <t>Egyek Nagyközség Önkormányzat és költségvetési szervei 2018. évi  kiadásai kiemelt előirányzatonként</t>
  </si>
  <si>
    <t>Tárkányi Béla Könyvtár és Művelődési Ház 2018. évi kiadásai feladatonként kormányzati funkciók szerinti bontásban</t>
  </si>
  <si>
    <t>Egyek Nagyközség Önkormányzat és költségvetési szervei 2018. évi működési  kiadásai kiemelt előirányzatonként</t>
  </si>
  <si>
    <t>Sajátos elszámolások 2018. december 31.-én</t>
  </si>
  <si>
    <t>Egyeki Polgármesteri Hivatal 2018. évi bevételei kormányzati funkciók szerinti bontásban</t>
  </si>
  <si>
    <t>016010 Országgyűlési, önkormányzati és európai parlamenti képviselőválasztásokhoz kapcsolódó tevékenységek</t>
  </si>
  <si>
    <t>Egyeki Polgármesteri Hivatal 2018. évi bevételei kormányzati funkciók szerinti bontásban kötelezően ellátandó feladatonként</t>
  </si>
  <si>
    <t>Az Egyeki Polgármesteri Hivatal 2018. évi kiadásai feladatonként kormányzati funkciók szerinti bontásban</t>
  </si>
  <si>
    <t>Önkormányzat 2018. évi bevételei kormányzati funkciók szerinti bontásban</t>
  </si>
  <si>
    <t>Tisza-tavi régió hulladéklerakóit rekultiváló egcélú önkormányzati társulás</t>
  </si>
  <si>
    <t>Egyeki Sportbarátok  Sport Egyesülete: működési támogatás</t>
  </si>
  <si>
    <t>Egyeki Sportbarátok  Sport Egyesülete: visszatérítendő kölcsön</t>
  </si>
  <si>
    <t>Debrecen-Nyíregyházi Egyházmegye támogatása</t>
  </si>
  <si>
    <t>Egyek Fejlesztéséért Alapítvány támogatása</t>
  </si>
  <si>
    <t>Önkormányzati Tűzoltóság: visszatérítendő támogatás</t>
  </si>
  <si>
    <t>Országos Mentőszolgálat Alapítvány</t>
  </si>
  <si>
    <t>Látássérültek Észak-Alföldi Regionális Egyesülete</t>
  </si>
  <si>
    <t>Boldizsár Lovastanya</t>
  </si>
  <si>
    <t>Berkes Hagyományőrző Ijász Sport és Lovas Egyesület</t>
  </si>
  <si>
    <t>Egyeki Szöghatár Nonprofit Kft.: visszatérítendő kölcsön</t>
  </si>
  <si>
    <t>Visszatérítendő krízis segély</t>
  </si>
  <si>
    <t>074040 Fertőző megbetegedések megelőzése, járványügyi ellátás</t>
  </si>
  <si>
    <t>086010 Határon túli magyarok egyéb támogatásai</t>
  </si>
  <si>
    <t>086090 Egyéb szabadidős szolgáltatás</t>
  </si>
  <si>
    <t>056010 Komplex környezetvédelmi programok támogatása</t>
  </si>
  <si>
    <t>Egyek Nagyközség Önkormányzatának 2018. évi kiadásai kormányzati funkciók szerinti bontásban</t>
  </si>
  <si>
    <t>Egyek Nagyközség Önkormányzatának 2018. évi kiadásai kormányzati funkciók szerinti bontásban, az önkormányzat által ellátandó kötelező feladatonként</t>
  </si>
  <si>
    <t>045120 Út, autópálya építése</t>
  </si>
  <si>
    <t>052020 Szennyvíz gyűjtése, tisztítása, elhelyezése</t>
  </si>
  <si>
    <t>Egyek Nagyközség Önkormányzat Képviselő Testületének 31/2018. (XII.13.) sz. rendelete 7.§ b.) pontja</t>
  </si>
  <si>
    <t>Egyek Nagyközség Önkormányzat Képviselő Testületének 31/2018. (XII.13.) sz. rendelete 7.§ a.) c.) pontja</t>
  </si>
  <si>
    <t>Az Egyeki Polgármesteri Hivatal 2018. évi kiadásai feladatonként kormányzati funkciók szerinti bontásban, kötelezően ellátandó feladatonként</t>
  </si>
  <si>
    <t xml:space="preserve"> Egyek Nagyközség Önkormányzatának tulajdonában álló gazdálkodó szervezetek működéséből származó kötelezettségek, követelések, és részesedések alakulása a  2018. évben</t>
  </si>
  <si>
    <t>Belterületi utak, járdék felújítása (Egyek, Hunyadi u. járda felújítás)</t>
  </si>
  <si>
    <t>Muzeális intézmények szakmai támogatás (Kubinyi Ágoston Program: Tájház felújítás)</t>
  </si>
  <si>
    <t>Helyi önkormányzatok felhalmozási célú költségvetési támogatásai összesen:</t>
  </si>
  <si>
    <t>Helyi érdekű települési fejlesztések I.: Dózsa Gy. U. felújítása</t>
  </si>
  <si>
    <t>A költségvetési szerveknél foglalkoztatottak 2018. évi kompenzációja</t>
  </si>
  <si>
    <t>A téli rezsicsökkentésben korábban nem részesült, a vezetékes gáz- vagy távfűtéstől eltérő fűtőanyagot használó háztartások egyszeri támogatása</t>
  </si>
  <si>
    <t>Önkormányzati ASP rendszer működésének támogatása</t>
  </si>
  <si>
    <t>Önkormányzati feladatellátást szolgáló fejlesztések előirányzatból forráshiány miatt támogatásban nem részesült pályázatok támogatása</t>
  </si>
  <si>
    <t>2017. évről áthúzódó bérkompenzáció támogatása</t>
  </si>
  <si>
    <t>Polgármesteri illetmény támogatása</t>
  </si>
  <si>
    <t>Az előző évi (2017.) kötelezettségvállalással terhelt kiegészítő támogatásainak és egyéb kötött felhasználású támogatások maradványainak elszámolása</t>
  </si>
  <si>
    <t>Az önkormányzat által a 2017. évben fel nem használt, de a 2018. évben jogszerűen felhasználható összeg</t>
  </si>
  <si>
    <t>Ebből 2018. évben az előírt határidőig ténylegesen felhasznált összeg</t>
  </si>
  <si>
    <t>Az önkormányzatok általános, köznevelési és szociális feladataihoz kapcsolódó támogatások elszámolása</t>
  </si>
  <si>
    <t>ebből: Kincstárban vezetett forintszámlák egyenlege</t>
  </si>
  <si>
    <t>ebből: Kincstáron kívül vezetett fintszámlák számlák egyenlege</t>
  </si>
  <si>
    <t>2017. év tény adata</t>
  </si>
  <si>
    <t>2018. évi</t>
  </si>
  <si>
    <t>BEVÉTELEK</t>
  </si>
  <si>
    <t>KIADÁSOK</t>
  </si>
  <si>
    <t xml:space="preserve">                                              Egyek Nagyközség Önkormányzat 2018. évi működési és felhalmozási célú bevételeinek és kiadásainak alakulása</t>
  </si>
  <si>
    <t>2018. év</t>
  </si>
  <si>
    <t xml:space="preserve">                                                                                    Egyek Nagyközség Önkormányzata és az általa irányított költségvetési szervek eszközeiről és kötelezettségeiről készített</t>
  </si>
  <si>
    <t>A 2018. évben érték nélkül nyilvántartott eszközökről</t>
  </si>
  <si>
    <t>Értéke                   2018. év</t>
  </si>
  <si>
    <t>Kimutatás az Egyek Nagyközség Önkormányzata 2018. évi hiteltörlesztéseiről és felvételeiről, valamint a tárgyévet követő hiteltörlesztéből eredő kötelezettségek összegéről</t>
  </si>
  <si>
    <t>2018.12.31-én fennálló hitelállomány</t>
  </si>
  <si>
    <t>2018. évi törlesztés összege</t>
  </si>
  <si>
    <t>2019. évi törlesztőrészlet</t>
  </si>
  <si>
    <t>2018. évi törlesztés dátuma</t>
  </si>
  <si>
    <t>Többéves kihatással járó döntésekből származó kötelezettségek célok szerint évenkénti bontásban</t>
  </si>
  <si>
    <t xml:space="preserve"> Forintban </t>
  </si>
  <si>
    <t>Kötelezettség jogcíme</t>
  </si>
  <si>
    <t>Köt. váll.
 éve</t>
  </si>
  <si>
    <t>Kiadás vonzata évenként</t>
  </si>
  <si>
    <t>2019.</t>
  </si>
  <si>
    <t>2020.</t>
  </si>
  <si>
    <t>2021.</t>
  </si>
  <si>
    <t>Működési célú hiteltörlesztés (tőke+kamat)</t>
  </si>
  <si>
    <t>1.1.</t>
  </si>
  <si>
    <t>Rövid lejáratú önkormányzati folyószámla hitel</t>
  </si>
  <si>
    <t>Felhalmozási célú hiteltörlesztés (tőke+kamat)</t>
  </si>
  <si>
    <t>2.1.</t>
  </si>
  <si>
    <t>Egyek horgászturizmushoz kapcsolódó pihenőpark és sétaút kialakítása önerő fedezete fejlesztési célú hitel</t>
  </si>
  <si>
    <t>2014.</t>
  </si>
  <si>
    <t>2.2.</t>
  </si>
  <si>
    <t>Műfüves labdarugópálya kiépítése Egyeken</t>
  </si>
  <si>
    <t>2016.</t>
  </si>
  <si>
    <t>2.3.</t>
  </si>
  <si>
    <t>Alacsony vételárú ingatlanok megvásárlása fejlesztési célú hitel</t>
  </si>
  <si>
    <t>2.4.</t>
  </si>
  <si>
    <t>Műfüves labdarugópálya pályázati tervdokumentáció elkészítésének finanszírozása feljesztési célú hitel</t>
  </si>
  <si>
    <t>2.5.</t>
  </si>
  <si>
    <t>Betonelem előregyártó csarnok pályázathoz kapcsolódó építési, kivitelezési terv elkészítése, valamint a pályázathoz kapcsolódó árazott költségvetés, építési engedélyezési tervdokumentáció elkészítésének finanszírozása fejlesztési célú hitel</t>
  </si>
  <si>
    <t>2.6.</t>
  </si>
  <si>
    <t>Zúzott kő vásárlás fejlesztési célú hitel</t>
  </si>
  <si>
    <t>2.11.</t>
  </si>
  <si>
    <t>"Egyek bel-és külterületi csapadékelvezető rendszer rekonstrukciója" fejlesztési célú hitel</t>
  </si>
  <si>
    <t>2015.</t>
  </si>
  <si>
    <t>2.12.</t>
  </si>
  <si>
    <t>Gyepmesteri telep építése Egyeken önerő finanszírozása fejlesztési célú hitel</t>
  </si>
  <si>
    <t>2.13.</t>
  </si>
  <si>
    <t>Önkormányzati tulajdonú ingatlanok fűtés korszerűsítése fejlesztési célú hitel</t>
  </si>
  <si>
    <t>Beruházás feladatonként</t>
  </si>
  <si>
    <t>3.1.</t>
  </si>
  <si>
    <t>3.2.</t>
  </si>
  <si>
    <t>3.3.</t>
  </si>
  <si>
    <t>3.4.</t>
  </si>
  <si>
    <t>3.5.</t>
  </si>
  <si>
    <t>3.6.</t>
  </si>
  <si>
    <t>Egyéb</t>
  </si>
  <si>
    <t>4.1.</t>
  </si>
  <si>
    <t>4.2.</t>
  </si>
  <si>
    <t>Könyvvizsgálati díj</t>
  </si>
  <si>
    <t>2011.</t>
  </si>
  <si>
    <t>2013.</t>
  </si>
  <si>
    <t>2012.</t>
  </si>
  <si>
    <t>4.5.</t>
  </si>
  <si>
    <t>Sebészeti szakrendeléshez eszközbérlet</t>
  </si>
  <si>
    <t>4.6.</t>
  </si>
  <si>
    <t>Szemészeti szakrendeléshez eszközbérlet</t>
  </si>
  <si>
    <t>4.7.</t>
  </si>
  <si>
    <t>Általános jogi tanácsadás</t>
  </si>
  <si>
    <t>4.8.</t>
  </si>
  <si>
    <t>Gyepmesteri telep állategészségügyi ellátás</t>
  </si>
  <si>
    <t>4.9.</t>
  </si>
  <si>
    <t>Világító testek bérleti díja</t>
  </si>
  <si>
    <t>2006.</t>
  </si>
  <si>
    <t>4.10.</t>
  </si>
  <si>
    <t>Népességnyilvántartó rendszer</t>
  </si>
  <si>
    <t>4.11.</t>
  </si>
  <si>
    <t>Polgármesteri Hivatal internet szolgáltatás</t>
  </si>
  <si>
    <t>4.12.</t>
  </si>
  <si>
    <t>Tűz és munkavédelmi szolgáltatás</t>
  </si>
  <si>
    <t>4.13.</t>
  </si>
  <si>
    <t>Tűzjelző rendszer karbantartási szolgáltatás</t>
  </si>
  <si>
    <t>4.14.</t>
  </si>
  <si>
    <t>Adó és számviteli tanácsadás tagdíj</t>
  </si>
  <si>
    <t>4.15.</t>
  </si>
  <si>
    <t>Önkormányzati fizetési meghagyások elektronikus rendszer éves díj</t>
  </si>
  <si>
    <t>4.16.</t>
  </si>
  <si>
    <t>Egészségházban kártevőírtás szolgáltatás</t>
  </si>
  <si>
    <t>4.17.</t>
  </si>
  <si>
    <t>Távfelügyeleti szolgáltatás</t>
  </si>
  <si>
    <t>4.18.</t>
  </si>
  <si>
    <t>Egyek Nagyközség Önkormányzata ingatlanainak vagyonbiztosítási díja</t>
  </si>
  <si>
    <t>4.19.</t>
  </si>
  <si>
    <t>EPER- elektronikus pénzügyi rendszer díja</t>
  </si>
  <si>
    <t>4.20.</t>
  </si>
  <si>
    <t>Egyek Nagyközség területén térfigyelő rendszer rendszer felügyeleti díj</t>
  </si>
  <si>
    <t>4.21.</t>
  </si>
  <si>
    <t>Közületi hulladékszállítási díj Polgármesteri Hivatalban esetén</t>
  </si>
  <si>
    <t>4.22.</t>
  </si>
  <si>
    <t>Gyepmesteri telep kártevőírtás szolgáltatás</t>
  </si>
  <si>
    <t>4.23.</t>
  </si>
  <si>
    <t>Távfelügyeleti szolgáltatás tűzjelző rendszerre</t>
  </si>
  <si>
    <t>2018. előtti kifizetés</t>
  </si>
  <si>
    <t>2018. évi kifizetés</t>
  </si>
  <si>
    <t xml:space="preserve">1756/3  Hrsz-ú Ingatlan adás-vétel díja </t>
  </si>
  <si>
    <t>2017.</t>
  </si>
  <si>
    <t>KÖFOP-1.2.1-VEKOP-16 pályázat keretein belül multifunkciós nyomtató vásárlás</t>
  </si>
  <si>
    <t>Dózsa György u kövezés, aszfaltozás</t>
  </si>
  <si>
    <t>KÖFOP-1.2.1-VEKOP-16 pályázat keretein belül lap-top, windows, MS Office beszerzéds</t>
  </si>
  <si>
    <t>Egyek Nagyközségbel és külterületének csapadékvízelvezető rendszer rekonstrukciója, kiviteli tervdokumentáció készítése</t>
  </si>
  <si>
    <t>Ultrahang készülék beszerzés</t>
  </si>
  <si>
    <t>3.7.</t>
  </si>
  <si>
    <t>Somogyi-Széchenyi-Baross- Sport köz útépítési eng. Tervdokumentáció készítés</t>
  </si>
  <si>
    <t>Attila telepen fellelhető külterületi ingatlanok elbirtoklása, ügyvédi díj előleg</t>
  </si>
  <si>
    <t xml:space="preserve">4.24. </t>
  </si>
  <si>
    <t>KATAWIN megnevezésű program migrálás</t>
  </si>
  <si>
    <t>2022.évtől a lejáratig</t>
  </si>
  <si>
    <t>2.14.</t>
  </si>
  <si>
    <t>"Bölcsődei ellátás infrastrukturális fejlesztése Egyeken" elnevezésű projekt megvalósításához szükséges többlet forrás biztosítása</t>
  </si>
  <si>
    <t>70100121-60979740</t>
  </si>
  <si>
    <t>102/18/V-BH2203</t>
  </si>
  <si>
    <t>"Bölcsődei ellátás infrastrukturális fejlesztése Egyeken" elnevezésű projekt megvalósításához szükséges többel forrás biztosítása</t>
  </si>
  <si>
    <t>Egyek Nagyközségbel és külterületének csapadékvízelvezető rendszer rekonstrukciója projekt, projektmenedzsmenti feladatok ellátása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</si>
</sst>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  <numFmt numFmtId="166" formatCode="_-* #,##0.00\ _F_t_-;\-* #,##0.00\ _F_t_-;_-* \-??\ _F_t_-;_-@_-"/>
    <numFmt numFmtId="167" formatCode="_-* #,##0\ _F_t_-;\-* #,##0\ _F_t_-;_-* \-??\ _F_t_-;_-@_-"/>
    <numFmt numFmtId="168" formatCode="00"/>
    <numFmt numFmtId="169" formatCode="#,###__;\-#,###__"/>
    <numFmt numFmtId="170" formatCode="0.0000%"/>
    <numFmt numFmtId="171" formatCode="#,##0_ ;\-#,##0\ "/>
    <numFmt numFmtId="172" formatCode="0_ ;\-0\ "/>
    <numFmt numFmtId="173" formatCode="#"/>
  </numFmts>
  <fonts count="10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 CE"/>
      <charset val="238"/>
    </font>
    <font>
      <sz val="9"/>
      <name val="Arial CE"/>
      <charset val="238"/>
    </font>
    <font>
      <sz val="8"/>
      <name val="Arial CE"/>
      <charset val="238"/>
    </font>
    <font>
      <sz val="11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sz val="14"/>
      <name val="Times New Roman"/>
      <family val="1"/>
      <charset val="238"/>
    </font>
    <font>
      <b/>
      <i/>
      <sz val="8"/>
      <color indexed="8"/>
      <name val="Arial"/>
      <family val="2"/>
      <charset val="238"/>
    </font>
    <font>
      <b/>
      <sz val="9"/>
      <name val="Arial CE"/>
      <charset val="238"/>
    </font>
    <font>
      <b/>
      <i/>
      <sz val="11"/>
      <name val="Arial"/>
      <family val="2"/>
    </font>
    <font>
      <i/>
      <sz val="11"/>
      <name val="Arial CE"/>
      <charset val="238"/>
    </font>
    <font>
      <b/>
      <sz val="16"/>
      <name val="Arial CE"/>
      <charset val="238"/>
    </font>
    <font>
      <b/>
      <i/>
      <sz val="11"/>
      <name val="Arial"/>
      <family val="2"/>
      <charset val="238"/>
    </font>
    <font>
      <i/>
      <sz val="9"/>
      <name val="Arial CE"/>
      <charset val="238"/>
    </font>
    <font>
      <b/>
      <u/>
      <sz val="9"/>
      <name val="Arial CE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"/>
      <family val="2"/>
    </font>
    <font>
      <sz val="11"/>
      <name val="Arial"/>
      <family val="2"/>
    </font>
    <font>
      <b/>
      <i/>
      <sz val="8"/>
      <name val="Arial"/>
      <family val="2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sz val="9"/>
      <name val="Arial"/>
      <family val="2"/>
    </font>
    <font>
      <b/>
      <sz val="9"/>
      <name val="Arial CE"/>
      <family val="2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  <family val="2"/>
      <charset val="238"/>
    </font>
    <font>
      <b/>
      <i/>
      <sz val="10"/>
      <name val="Arial"/>
      <family val="2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  <font>
      <b/>
      <sz val="10"/>
      <name val="Times New Roman"/>
      <family val="1"/>
      <charset val="238"/>
    </font>
    <font>
      <b/>
      <sz val="10"/>
      <name val="Times New Roman"/>
      <family val="1"/>
    </font>
    <font>
      <b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Times New Roman"/>
      <family val="1"/>
    </font>
    <font>
      <sz val="14"/>
      <name val="Times New Roman"/>
      <family val="1"/>
    </font>
    <font>
      <b/>
      <i/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0"/>
      <name val="Times New Roman CE"/>
      <charset val="238"/>
    </font>
    <font>
      <b/>
      <i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i/>
      <sz val="4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 CE"/>
      <family val="1"/>
      <charset val="238"/>
    </font>
    <font>
      <i/>
      <sz val="8"/>
      <name val="Arial"/>
      <family val="2"/>
      <charset val="238"/>
    </font>
    <font>
      <b/>
      <sz val="11"/>
      <name val="Arial"/>
      <family val="2"/>
    </font>
    <font>
      <i/>
      <sz val="11"/>
      <color indexed="8"/>
      <name val="Arial"/>
      <family val="2"/>
    </font>
    <font>
      <b/>
      <sz val="11"/>
      <name val="Arial CE"/>
      <charset val="238"/>
    </font>
    <font>
      <sz val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</borders>
  <cellStyleXfs count="27">
    <xf numFmtId="0" fontId="0" fillId="0" borderId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52" fillId="0" borderId="0" applyFill="0" applyBorder="0" applyAlignment="0" applyProtection="0"/>
    <xf numFmtId="43" fontId="12" fillId="0" borderId="0" applyFont="0" applyFill="0" applyBorder="0" applyAlignment="0" applyProtection="0"/>
    <xf numFmtId="166" fontId="52" fillId="0" borderId="0" applyFill="0" applyBorder="0" applyAlignment="0" applyProtection="0"/>
    <xf numFmtId="0" fontId="12" fillId="0" borderId="0"/>
    <xf numFmtId="0" fontId="12" fillId="0" borderId="0"/>
    <xf numFmtId="0" fontId="52" fillId="0" borderId="0"/>
    <xf numFmtId="0" fontId="14" fillId="0" borderId="0"/>
    <xf numFmtId="0" fontId="25" fillId="0" borderId="0"/>
    <xf numFmtId="0" fontId="80" fillId="0" borderId="0"/>
    <xf numFmtId="0" fontId="50" fillId="0" borderId="0"/>
    <xf numFmtId="0" fontId="57" fillId="0" borderId="0"/>
    <xf numFmtId="0" fontId="14" fillId="0" borderId="0"/>
    <xf numFmtId="9" fontId="52" fillId="0" borderId="0" applyFill="0" applyBorder="0" applyAlignment="0" applyProtection="0"/>
    <xf numFmtId="9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52" fillId="0" borderId="0"/>
  </cellStyleXfs>
  <cellXfs count="1739">
    <xf numFmtId="0" fontId="0" fillId="0" borderId="0" xfId="0"/>
    <xf numFmtId="0" fontId="0" fillId="0" borderId="0" xfId="0" applyBorder="1"/>
    <xf numFmtId="3" fontId="0" fillId="0" borderId="0" xfId="0" applyNumberFormat="1"/>
    <xf numFmtId="0" fontId="7" fillId="0" borderId="0" xfId="0" applyFont="1"/>
    <xf numFmtId="0" fontId="0" fillId="0" borderId="0" xfId="0" applyBorder="1" applyAlignment="1"/>
    <xf numFmtId="0" fontId="15" fillId="0" borderId="1" xfId="0" applyFont="1" applyBorder="1"/>
    <xf numFmtId="0" fontId="13" fillId="0" borderId="0" xfId="0" applyFont="1"/>
    <xf numFmtId="0" fontId="9" fillId="0" borderId="0" xfId="0" applyFont="1" applyAlignment="1"/>
    <xf numFmtId="0" fontId="15" fillId="0" borderId="0" xfId="0" applyFont="1" applyBorder="1"/>
    <xf numFmtId="0" fontId="9" fillId="0" borderId="0" xfId="0" applyFont="1" applyAlignment="1">
      <alignment horizontal="center" wrapText="1"/>
    </xf>
    <xf numFmtId="0" fontId="9" fillId="0" borderId="1" xfId="0" applyFont="1" applyBorder="1" applyAlignment="1"/>
    <xf numFmtId="0" fontId="17" fillId="0" borderId="0" xfId="0" applyFont="1" applyAlignment="1"/>
    <xf numFmtId="0" fontId="11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11" fillId="0" borderId="0" xfId="0" applyFont="1" applyBorder="1"/>
    <xf numFmtId="3" fontId="18" fillId="2" borderId="0" xfId="0" applyNumberFormat="1" applyFont="1" applyFill="1" applyBorder="1" applyAlignment="1">
      <alignment horizontal="center"/>
    </xf>
    <xf numFmtId="0" fontId="18" fillId="0" borderId="0" xfId="0" applyFont="1" applyBorder="1"/>
    <xf numFmtId="0" fontId="26" fillId="0" borderId="0" xfId="0" applyFont="1"/>
    <xf numFmtId="0" fontId="13" fillId="0" borderId="2" xfId="0" applyFont="1" applyBorder="1"/>
    <xf numFmtId="0" fontId="13" fillId="0" borderId="3" xfId="0" applyFont="1" applyBorder="1"/>
    <xf numFmtId="0" fontId="28" fillId="0" borderId="0" xfId="0" applyFont="1"/>
    <xf numFmtId="0" fontId="15" fillId="0" borderId="0" xfId="0" applyFont="1" applyBorder="1" applyAlignment="1"/>
    <xf numFmtId="3" fontId="15" fillId="0" borderId="0" xfId="0" applyNumberFormat="1" applyFont="1" applyBorder="1" applyAlignment="1"/>
    <xf numFmtId="0" fontId="0" fillId="0" borderId="0" xfId="0" applyFill="1"/>
    <xf numFmtId="0" fontId="6" fillId="0" borderId="0" xfId="0" applyFont="1"/>
    <xf numFmtId="0" fontId="29" fillId="0" borderId="0" xfId="0" applyFont="1"/>
    <xf numFmtId="165" fontId="13" fillId="0" borderId="2" xfId="1" applyNumberFormat="1" applyFont="1" applyBorder="1"/>
    <xf numFmtId="3" fontId="19" fillId="2" borderId="0" xfId="0" applyNumberFormat="1" applyFont="1" applyFill="1" applyBorder="1" applyAlignment="1"/>
    <xf numFmtId="3" fontId="20" fillId="2" borderId="0" xfId="0" applyNumberFormat="1" applyFont="1" applyFill="1" applyBorder="1" applyAlignment="1"/>
    <xf numFmtId="0" fontId="18" fillId="2" borderId="0" xfId="0" applyFont="1" applyFill="1" applyBorder="1" applyAlignment="1"/>
    <xf numFmtId="165" fontId="0" fillId="0" borderId="0" xfId="0" applyNumberFormat="1"/>
    <xf numFmtId="0" fontId="0" fillId="2" borderId="0" xfId="0" applyFill="1"/>
    <xf numFmtId="0" fontId="15" fillId="0" borderId="1" xfId="0" applyFont="1" applyBorder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 wrapText="1"/>
    </xf>
    <xf numFmtId="3" fontId="24" fillId="2" borderId="1" xfId="0" applyNumberFormat="1" applyFont="1" applyFill="1" applyBorder="1"/>
    <xf numFmtId="3" fontId="14" fillId="2" borderId="0" xfId="0" applyNumberFormat="1" applyFont="1" applyFill="1" applyBorder="1" applyAlignment="1">
      <alignment wrapText="1"/>
    </xf>
    <xf numFmtId="3" fontId="13" fillId="2" borderId="0" xfId="0" applyNumberFormat="1" applyFont="1" applyFill="1" applyBorder="1"/>
    <xf numFmtId="3" fontId="24" fillId="2" borderId="4" xfId="0" applyNumberFormat="1" applyFont="1" applyFill="1" applyBorder="1" applyAlignment="1"/>
    <xf numFmtId="3" fontId="24" fillId="2" borderId="0" xfId="0" applyNumberFormat="1" applyFont="1" applyFill="1" applyBorder="1"/>
    <xf numFmtId="3" fontId="24" fillId="2" borderId="0" xfId="0" applyNumberFormat="1" applyFont="1" applyFill="1" applyBorder="1" applyAlignment="1"/>
    <xf numFmtId="3" fontId="23" fillId="2" borderId="0" xfId="0" applyNumberFormat="1" applyFont="1" applyFill="1" applyBorder="1" applyAlignment="1">
      <alignment wrapText="1"/>
    </xf>
    <xf numFmtId="3" fontId="0" fillId="2" borderId="0" xfId="0" applyNumberFormat="1" applyFill="1"/>
    <xf numFmtId="0" fontId="28" fillId="2" borderId="0" xfId="0" applyFont="1" applyFill="1"/>
    <xf numFmtId="3" fontId="28" fillId="2" borderId="0" xfId="0" applyNumberFormat="1" applyFont="1" applyFill="1"/>
    <xf numFmtId="0" fontId="13" fillId="0" borderId="2" xfId="0" applyFont="1" applyBorder="1" applyAlignment="1">
      <alignment wrapText="1"/>
    </xf>
    <xf numFmtId="3" fontId="15" fillId="0" borderId="1" xfId="0" applyNumberFormat="1" applyFont="1" applyBorder="1" applyAlignment="1">
      <alignment horizontal="center"/>
    </xf>
    <xf numFmtId="165" fontId="13" fillId="0" borderId="5" xfId="1" applyNumberFormat="1" applyFont="1" applyBorder="1"/>
    <xf numFmtId="165" fontId="13" fillId="0" borderId="6" xfId="1" applyNumberFormat="1" applyFont="1" applyBorder="1"/>
    <xf numFmtId="165" fontId="13" fillId="0" borderId="7" xfId="1" applyNumberFormat="1" applyFont="1" applyBorder="1"/>
    <xf numFmtId="3" fontId="13" fillId="0" borderId="8" xfId="0" applyNumberFormat="1" applyFont="1" applyBorder="1" applyAlignment="1">
      <alignment horizontal="center"/>
    </xf>
    <xf numFmtId="165" fontId="13" fillId="0" borderId="9" xfId="1" applyNumberFormat="1" applyFont="1" applyBorder="1" applyAlignment="1">
      <alignment horizontal="center"/>
    </xf>
    <xf numFmtId="3" fontId="13" fillId="2" borderId="8" xfId="0" applyNumberFormat="1" applyFont="1" applyFill="1" applyBorder="1" applyAlignment="1">
      <alignment horizontal="center"/>
    </xf>
    <xf numFmtId="165" fontId="13" fillId="0" borderId="10" xfId="1" applyNumberFormat="1" applyFont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165" fontId="15" fillId="0" borderId="1" xfId="1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5" fontId="13" fillId="0" borderId="4" xfId="1" applyNumberFormat="1" applyFont="1" applyBorder="1" applyAlignment="1">
      <alignment horizontal="center"/>
    </xf>
    <xf numFmtId="165" fontId="13" fillId="0" borderId="12" xfId="1" applyNumberFormat="1" applyFont="1" applyBorder="1"/>
    <xf numFmtId="0" fontId="8" fillId="2" borderId="13" xfId="0" applyFont="1" applyFill="1" applyBorder="1" applyAlignment="1">
      <alignment horizontal="center"/>
    </xf>
    <xf numFmtId="0" fontId="33" fillId="0" borderId="0" xfId="0" applyFont="1"/>
    <xf numFmtId="0" fontId="13" fillId="0" borderId="3" xfId="0" applyFont="1" applyBorder="1" applyAlignment="1">
      <alignment wrapText="1"/>
    </xf>
    <xf numFmtId="165" fontId="15" fillId="0" borderId="1" xfId="1" applyNumberFormat="1" applyFont="1" applyBorder="1"/>
    <xf numFmtId="165" fontId="13" fillId="0" borderId="3" xfId="1" applyNumberFormat="1" applyFont="1" applyBorder="1"/>
    <xf numFmtId="165" fontId="15" fillId="0" borderId="14" xfId="1" applyNumberFormat="1" applyFont="1" applyBorder="1"/>
    <xf numFmtId="165" fontId="15" fillId="0" borderId="15" xfId="1" applyNumberFormat="1" applyFont="1" applyBorder="1"/>
    <xf numFmtId="0" fontId="17" fillId="0" borderId="13" xfId="0" applyFont="1" applyBorder="1" applyAlignment="1">
      <alignment horizontal="right"/>
    </xf>
    <xf numFmtId="0" fontId="9" fillId="0" borderId="0" xfId="0" applyFont="1" applyAlignment="1">
      <alignment wrapText="1"/>
    </xf>
    <xf numFmtId="165" fontId="13" fillId="0" borderId="0" xfId="1" applyNumberFormat="1" applyFont="1" applyFill="1" applyBorder="1"/>
    <xf numFmtId="165" fontId="13" fillId="0" borderId="10" xfId="1" applyNumberFormat="1" applyFont="1" applyFill="1" applyBorder="1" applyAlignment="1">
      <alignment horizontal="center"/>
    </xf>
    <xf numFmtId="165" fontId="13" fillId="0" borderId="9" xfId="1" applyNumberFormat="1" applyFont="1" applyFill="1" applyBorder="1" applyAlignment="1">
      <alignment horizontal="center"/>
    </xf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65" fontId="14" fillId="2" borderId="8" xfId="1" applyNumberFormat="1" applyFont="1" applyFill="1" applyBorder="1"/>
    <xf numFmtId="165" fontId="0" fillId="0" borderId="8" xfId="0" applyNumberFormat="1" applyBorder="1"/>
    <xf numFmtId="165" fontId="13" fillId="0" borderId="1" xfId="1" applyNumberFormat="1" applyFont="1" applyBorder="1" applyAlignment="1">
      <alignment horizontal="center"/>
    </xf>
    <xf numFmtId="3" fontId="18" fillId="2" borderId="16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right"/>
    </xf>
    <xf numFmtId="165" fontId="14" fillId="0" borderId="8" xfId="1" applyNumberFormat="1" applyFont="1" applyFill="1" applyBorder="1"/>
    <xf numFmtId="0" fontId="0" fillId="0" borderId="0" xfId="0" applyFont="1"/>
    <xf numFmtId="165" fontId="6" fillId="0" borderId="17" xfId="0" applyNumberFormat="1" applyFont="1" applyBorder="1"/>
    <xf numFmtId="165" fontId="13" fillId="0" borderId="1" xfId="1" applyNumberFormat="1" applyFont="1" applyBorder="1"/>
    <xf numFmtId="165" fontId="12" fillId="0" borderId="0" xfId="1" applyNumberFormat="1" applyFont="1"/>
    <xf numFmtId="165" fontId="8" fillId="0" borderId="1" xfId="1" applyNumberFormat="1" applyFont="1" applyBorder="1" applyAlignment="1">
      <alignment horizontal="center"/>
    </xf>
    <xf numFmtId="3" fontId="24" fillId="0" borderId="8" xfId="0" applyNumberFormat="1" applyFont="1" applyFill="1" applyBorder="1"/>
    <xf numFmtId="3" fontId="23" fillId="0" borderId="1" xfId="0" applyNumberFormat="1" applyFont="1" applyFill="1" applyBorder="1" applyAlignment="1">
      <alignment wrapText="1"/>
    </xf>
    <xf numFmtId="3" fontId="24" fillId="0" borderId="18" xfId="0" applyNumberFormat="1" applyFont="1" applyFill="1" applyBorder="1"/>
    <xf numFmtId="3" fontId="24" fillId="0" borderId="19" xfId="0" applyNumberFormat="1" applyFont="1" applyFill="1" applyBorder="1"/>
    <xf numFmtId="3" fontId="24" fillId="0" borderId="20" xfId="0" applyNumberFormat="1" applyFont="1" applyFill="1" applyBorder="1"/>
    <xf numFmtId="3" fontId="40" fillId="0" borderId="2" xfId="0" applyNumberFormat="1" applyFont="1" applyFill="1" applyBorder="1" applyAlignment="1">
      <alignment wrapText="1"/>
    </xf>
    <xf numFmtId="3" fontId="40" fillId="0" borderId="21" xfId="0" applyNumberFormat="1" applyFont="1" applyFill="1" applyBorder="1"/>
    <xf numFmtId="3" fontId="40" fillId="0" borderId="22" xfId="0" applyNumberFormat="1" applyFont="1" applyFill="1" applyBorder="1"/>
    <xf numFmtId="3" fontId="40" fillId="2" borderId="22" xfId="0" applyNumberFormat="1" applyFont="1" applyFill="1" applyBorder="1"/>
    <xf numFmtId="3" fontId="40" fillId="2" borderId="8" xfId="0" applyNumberFormat="1" applyFont="1" applyFill="1" applyBorder="1"/>
    <xf numFmtId="3" fontId="41" fillId="0" borderId="3" xfId="0" applyNumberFormat="1" applyFont="1" applyFill="1" applyBorder="1" applyAlignment="1">
      <alignment wrapText="1"/>
    </xf>
    <xf numFmtId="3" fontId="41" fillId="0" borderId="10" xfId="0" applyNumberFormat="1" applyFont="1" applyFill="1" applyBorder="1"/>
    <xf numFmtId="3" fontId="41" fillId="0" borderId="11" xfId="0" applyNumberFormat="1" applyFont="1" applyFill="1" applyBorder="1"/>
    <xf numFmtId="3" fontId="41" fillId="2" borderId="11" xfId="0" applyNumberFormat="1" applyFont="1" applyFill="1" applyBorder="1"/>
    <xf numFmtId="3" fontId="24" fillId="0" borderId="11" xfId="0" applyNumberFormat="1" applyFont="1" applyFill="1" applyBorder="1"/>
    <xf numFmtId="3" fontId="40" fillId="0" borderId="3" xfId="0" applyNumberFormat="1" applyFont="1" applyFill="1" applyBorder="1" applyAlignment="1">
      <alignment wrapText="1"/>
    </xf>
    <xf numFmtId="3" fontId="40" fillId="0" borderId="10" xfId="0" applyNumberFormat="1" applyFont="1" applyFill="1" applyBorder="1"/>
    <xf numFmtId="3" fontId="40" fillId="0" borderId="11" xfId="0" applyNumberFormat="1" applyFont="1" applyFill="1" applyBorder="1"/>
    <xf numFmtId="3" fontId="40" fillId="2" borderId="11" xfId="0" applyNumberFormat="1" applyFont="1" applyFill="1" applyBorder="1"/>
    <xf numFmtId="3" fontId="41" fillId="0" borderId="23" xfId="0" applyNumberFormat="1" applyFont="1" applyFill="1" applyBorder="1" applyAlignment="1">
      <alignment wrapText="1"/>
    </xf>
    <xf numFmtId="3" fontId="41" fillId="0" borderId="21" xfId="0" applyNumberFormat="1" applyFont="1" applyFill="1" applyBorder="1"/>
    <xf numFmtId="3" fontId="41" fillId="0" borderId="22" xfId="0" applyNumberFormat="1" applyFont="1" applyFill="1" applyBorder="1"/>
    <xf numFmtId="3" fontId="34" fillId="2" borderId="22" xfId="0" applyNumberFormat="1" applyFont="1" applyFill="1" applyBorder="1"/>
    <xf numFmtId="3" fontId="34" fillId="2" borderId="24" xfId="0" applyNumberFormat="1" applyFont="1" applyFill="1" applyBorder="1"/>
    <xf numFmtId="3" fontId="41" fillId="0" borderId="2" xfId="0" applyNumberFormat="1" applyFont="1" applyFill="1" applyBorder="1" applyAlignment="1">
      <alignment wrapText="1"/>
    </xf>
    <xf numFmtId="3" fontId="42" fillId="0" borderId="8" xfId="0" applyNumberFormat="1" applyFont="1" applyFill="1" applyBorder="1"/>
    <xf numFmtId="3" fontId="42" fillId="0" borderId="25" xfId="0" applyNumberFormat="1" applyFont="1" applyFill="1" applyBorder="1"/>
    <xf numFmtId="3" fontId="42" fillId="0" borderId="10" xfId="0" applyNumberFormat="1" applyFont="1" applyFill="1" applyBorder="1"/>
    <xf numFmtId="3" fontId="42" fillId="0" borderId="11" xfId="0" applyNumberFormat="1" applyFont="1" applyFill="1" applyBorder="1"/>
    <xf numFmtId="3" fontId="42" fillId="2" borderId="11" xfId="0" applyNumberFormat="1" applyFont="1" applyFill="1" applyBorder="1"/>
    <xf numFmtId="3" fontId="42" fillId="2" borderId="26" xfId="0" applyNumberFormat="1" applyFont="1" applyFill="1" applyBorder="1"/>
    <xf numFmtId="3" fontId="43" fillId="0" borderId="10" xfId="0" applyNumberFormat="1" applyFont="1" applyFill="1" applyBorder="1"/>
    <xf numFmtId="3" fontId="43" fillId="0" borderId="11" xfId="0" applyNumberFormat="1" applyFont="1" applyFill="1" applyBorder="1"/>
    <xf numFmtId="3" fontId="43" fillId="2" borderId="11" xfId="0" applyNumberFormat="1" applyFont="1" applyFill="1" applyBorder="1"/>
    <xf numFmtId="3" fontId="43" fillId="2" borderId="26" xfId="0" applyNumberFormat="1" applyFont="1" applyFill="1" applyBorder="1"/>
    <xf numFmtId="3" fontId="24" fillId="0" borderId="27" xfId="0" applyNumberFormat="1" applyFont="1" applyFill="1" applyBorder="1"/>
    <xf numFmtId="3" fontId="43" fillId="2" borderId="8" xfId="0" applyNumberFormat="1" applyFont="1" applyFill="1" applyBorder="1"/>
    <xf numFmtId="3" fontId="41" fillId="2" borderId="8" xfId="0" applyNumberFormat="1" applyFont="1" applyFill="1" applyBorder="1"/>
    <xf numFmtId="3" fontId="43" fillId="2" borderId="8" xfId="0" applyNumberFormat="1" applyFont="1" applyFill="1" applyBorder="1" applyAlignment="1">
      <alignment horizontal="right"/>
    </xf>
    <xf numFmtId="3" fontId="41" fillId="2" borderId="8" xfId="0" applyNumberFormat="1" applyFont="1" applyFill="1" applyBorder="1" applyAlignment="1">
      <alignment horizontal="right"/>
    </xf>
    <xf numFmtId="165" fontId="13" fillId="0" borderId="28" xfId="1" applyNumberFormat="1" applyFont="1" applyBorder="1"/>
    <xf numFmtId="165" fontId="13" fillId="0" borderId="29" xfId="1" applyNumberFormat="1" applyFont="1" applyBorder="1"/>
    <xf numFmtId="165" fontId="13" fillId="0" borderId="29" xfId="1" applyNumberFormat="1" applyFont="1" applyFill="1" applyBorder="1"/>
    <xf numFmtId="165" fontId="15" fillId="0" borderId="15" xfId="1" applyNumberFormat="1" applyFont="1" applyBorder="1" applyAlignment="1">
      <alignment horizontal="right"/>
    </xf>
    <xf numFmtId="165" fontId="14" fillId="0" borderId="8" xfId="1" applyNumberFormat="1" applyFont="1" applyBorder="1"/>
    <xf numFmtId="165" fontId="14" fillId="0" borderId="16" xfId="1" applyNumberFormat="1" applyFont="1" applyBorder="1"/>
    <xf numFmtId="165" fontId="14" fillId="0" borderId="30" xfId="1" applyNumberFormat="1" applyFont="1" applyBorder="1"/>
    <xf numFmtId="165" fontId="14" fillId="0" borderId="31" xfId="1" applyNumberFormat="1" applyFont="1" applyBorder="1"/>
    <xf numFmtId="165" fontId="14" fillId="0" borderId="32" xfId="1" applyNumberFormat="1" applyFont="1" applyBorder="1"/>
    <xf numFmtId="3" fontId="40" fillId="2" borderId="24" xfId="0" applyNumberFormat="1" applyFont="1" applyFill="1" applyBorder="1"/>
    <xf numFmtId="3" fontId="40" fillId="2" borderId="25" xfId="0" applyNumberFormat="1" applyFont="1" applyFill="1" applyBorder="1"/>
    <xf numFmtId="3" fontId="41" fillId="2" borderId="26" xfId="0" applyNumberFormat="1" applyFont="1" applyFill="1" applyBorder="1"/>
    <xf numFmtId="3" fontId="40" fillId="2" borderId="26" xfId="0" applyNumberFormat="1" applyFont="1" applyFill="1" applyBorder="1"/>
    <xf numFmtId="165" fontId="15" fillId="0" borderId="33" xfId="1" applyNumberFormat="1" applyFont="1" applyBorder="1" applyAlignment="1">
      <alignment horizontal="right"/>
    </xf>
    <xf numFmtId="165" fontId="15" fillId="0" borderId="34" xfId="1" applyNumberFormat="1" applyFont="1" applyBorder="1"/>
    <xf numFmtId="165" fontId="15" fillId="0" borderId="35" xfId="1" applyNumberFormat="1" applyFont="1" applyBorder="1"/>
    <xf numFmtId="3" fontId="24" fillId="0" borderId="9" xfId="0" applyNumberFormat="1" applyFont="1" applyFill="1" applyBorder="1"/>
    <xf numFmtId="3" fontId="24" fillId="0" borderId="33" xfId="0" applyNumberFormat="1" applyFont="1" applyFill="1" applyBorder="1"/>
    <xf numFmtId="3" fontId="40" fillId="0" borderId="23" xfId="0" applyNumberFormat="1" applyFont="1" applyFill="1" applyBorder="1" applyAlignment="1">
      <alignment wrapText="1"/>
    </xf>
    <xf numFmtId="3" fontId="40" fillId="0" borderId="36" xfId="0" applyNumberFormat="1" applyFont="1" applyFill="1" applyBorder="1"/>
    <xf numFmtId="3" fontId="40" fillId="0" borderId="37" xfId="0" applyNumberFormat="1" applyFont="1" applyFill="1" applyBorder="1"/>
    <xf numFmtId="3" fontId="40" fillId="2" borderId="37" xfId="0" applyNumberFormat="1" applyFont="1" applyFill="1" applyBorder="1"/>
    <xf numFmtId="3" fontId="40" fillId="2" borderId="38" xfId="0" applyNumberFormat="1" applyFont="1" applyFill="1" applyBorder="1"/>
    <xf numFmtId="3" fontId="24" fillId="0" borderId="22" xfId="0" applyNumberFormat="1" applyFont="1" applyFill="1" applyBorder="1"/>
    <xf numFmtId="3" fontId="40" fillId="0" borderId="12" xfId="0" applyNumberFormat="1" applyFont="1" applyFill="1" applyBorder="1" applyAlignment="1">
      <alignment wrapText="1"/>
    </xf>
    <xf numFmtId="3" fontId="37" fillId="0" borderId="1" xfId="0" applyNumberFormat="1" applyFont="1" applyFill="1" applyBorder="1" applyAlignment="1">
      <alignment wrapText="1"/>
    </xf>
    <xf numFmtId="3" fontId="23" fillId="0" borderId="15" xfId="0" applyNumberFormat="1" applyFont="1" applyFill="1" applyBorder="1" applyAlignment="1">
      <alignment wrapText="1"/>
    </xf>
    <xf numFmtId="3" fontId="24" fillId="0" borderId="39" xfId="0" applyNumberFormat="1" applyFont="1" applyFill="1" applyBorder="1"/>
    <xf numFmtId="3" fontId="24" fillId="0" borderId="40" xfId="0" applyNumberFormat="1" applyFont="1" applyFill="1" applyBorder="1"/>
    <xf numFmtId="3" fontId="24" fillId="0" borderId="14" xfId="0" applyNumberFormat="1" applyFont="1" applyFill="1" applyBorder="1"/>
    <xf numFmtId="3" fontId="24" fillId="0" borderId="1" xfId="0" applyNumberFormat="1" applyFont="1" applyFill="1" applyBorder="1"/>
    <xf numFmtId="3" fontId="24" fillId="2" borderId="41" xfId="0" applyNumberFormat="1" applyFont="1" applyFill="1" applyBorder="1"/>
    <xf numFmtId="3" fontId="42" fillId="0" borderId="9" xfId="0" applyNumberFormat="1" applyFont="1" applyFill="1" applyBorder="1"/>
    <xf numFmtId="3" fontId="24" fillId="2" borderId="1" xfId="0" applyNumberFormat="1" applyFont="1" applyFill="1" applyBorder="1" applyAlignment="1">
      <alignment wrapText="1"/>
    </xf>
    <xf numFmtId="3" fontId="24" fillId="2" borderId="27" xfId="0" applyNumberFormat="1" applyFont="1" applyFill="1" applyBorder="1"/>
    <xf numFmtId="3" fontId="24" fillId="2" borderId="19" xfId="0" applyNumberFormat="1" applyFont="1" applyFill="1" applyBorder="1"/>
    <xf numFmtId="3" fontId="24" fillId="2" borderId="20" xfId="0" applyNumberFormat="1" applyFont="1" applyFill="1" applyBorder="1"/>
    <xf numFmtId="3" fontId="40" fillId="0" borderId="29" xfId="0" applyNumberFormat="1" applyFont="1" applyFill="1" applyBorder="1" applyAlignment="1">
      <alignment wrapText="1"/>
    </xf>
    <xf numFmtId="0" fontId="8" fillId="0" borderId="15" xfId="0" applyFont="1" applyBorder="1" applyAlignment="1">
      <alignment horizontal="center" vertical="center"/>
    </xf>
    <xf numFmtId="0" fontId="21" fillId="0" borderId="0" xfId="0" applyFont="1" applyAlignment="1"/>
    <xf numFmtId="3" fontId="24" fillId="2" borderId="14" xfId="0" applyNumberFormat="1" applyFont="1" applyFill="1" applyBorder="1"/>
    <xf numFmtId="3" fontId="42" fillId="2" borderId="8" xfId="0" applyNumberFormat="1" applyFont="1" applyFill="1" applyBorder="1"/>
    <xf numFmtId="0" fontId="45" fillId="2" borderId="35" xfId="0" applyFont="1" applyFill="1" applyBorder="1" applyAlignment="1">
      <alignment vertical="center" wrapText="1"/>
    </xf>
    <xf numFmtId="0" fontId="45" fillId="2" borderId="35" xfId="0" applyFont="1" applyFill="1" applyBorder="1" applyAlignment="1">
      <alignment horizontal="center" vertical="center" wrapText="1"/>
    </xf>
    <xf numFmtId="0" fontId="47" fillId="0" borderId="8" xfId="0" applyFont="1" applyBorder="1" applyAlignment="1">
      <alignment horizontal="left" vertical="center" wrapText="1"/>
    </xf>
    <xf numFmtId="0" fontId="48" fillId="0" borderId="17" xfId="0" applyFont="1" applyBorder="1" applyAlignment="1">
      <alignment horizontal="left" vertical="center"/>
    </xf>
    <xf numFmtId="165" fontId="15" fillId="0" borderId="8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3" fontId="15" fillId="0" borderId="35" xfId="0" applyNumberFormat="1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165" fontId="13" fillId="0" borderId="41" xfId="1" applyNumberFormat="1" applyFont="1" applyBorder="1" applyAlignment="1">
      <alignment horizontal="center"/>
    </xf>
    <xf numFmtId="3" fontId="15" fillId="0" borderId="41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/>
    </xf>
    <xf numFmtId="165" fontId="8" fillId="0" borderId="31" xfId="1" applyNumberFormat="1" applyFont="1" applyBorder="1" applyAlignment="1">
      <alignment horizontal="center"/>
    </xf>
    <xf numFmtId="3" fontId="15" fillId="0" borderId="32" xfId="0" applyNumberFormat="1" applyFont="1" applyBorder="1" applyAlignment="1">
      <alignment horizontal="center"/>
    </xf>
    <xf numFmtId="3" fontId="15" fillId="0" borderId="16" xfId="0" applyNumberFormat="1" applyFont="1" applyBorder="1" applyAlignment="1">
      <alignment horizontal="center"/>
    </xf>
    <xf numFmtId="3" fontId="15" fillId="0" borderId="17" xfId="0" applyNumberFormat="1" applyFont="1" applyBorder="1" applyAlignment="1">
      <alignment horizontal="center"/>
    </xf>
    <xf numFmtId="165" fontId="8" fillId="0" borderId="17" xfId="1" applyNumberFormat="1" applyFont="1" applyBorder="1" applyAlignment="1">
      <alignment horizontal="center"/>
    </xf>
    <xf numFmtId="3" fontId="15" fillId="0" borderId="30" xfId="0" applyNumberFormat="1" applyFont="1" applyBorder="1" applyAlignment="1">
      <alignment horizontal="center"/>
    </xf>
    <xf numFmtId="0" fontId="13" fillId="0" borderId="12" xfId="0" applyFont="1" applyBorder="1"/>
    <xf numFmtId="3" fontId="13" fillId="0" borderId="42" xfId="0" applyNumberFormat="1" applyFont="1" applyBorder="1" applyAlignment="1">
      <alignment horizontal="center"/>
    </xf>
    <xf numFmtId="165" fontId="13" fillId="0" borderId="43" xfId="1" applyNumberFormat="1" applyFont="1" applyFill="1" applyBorder="1" applyAlignment="1">
      <alignment horizontal="center"/>
    </xf>
    <xf numFmtId="165" fontId="13" fillId="0" borderId="44" xfId="1" applyNumberFormat="1" applyFont="1" applyFill="1" applyBorder="1" applyAlignment="1">
      <alignment horizontal="center"/>
    </xf>
    <xf numFmtId="3" fontId="13" fillId="0" borderId="45" xfId="0" applyNumberFormat="1" applyFont="1" applyBorder="1" applyAlignment="1">
      <alignment horizontal="center"/>
    </xf>
    <xf numFmtId="165" fontId="13" fillId="0" borderId="46" xfId="1" applyNumberFormat="1" applyFont="1" applyFill="1" applyBorder="1" applyAlignment="1">
      <alignment horizontal="center"/>
    </xf>
    <xf numFmtId="165" fontId="13" fillId="0" borderId="47" xfId="1" applyNumberFormat="1" applyFont="1" applyFill="1" applyBorder="1" applyAlignment="1">
      <alignment horizontal="center"/>
    </xf>
    <xf numFmtId="3" fontId="13" fillId="0" borderId="48" xfId="0" applyNumberFormat="1" applyFont="1" applyBorder="1" applyAlignment="1">
      <alignment horizontal="center"/>
    </xf>
    <xf numFmtId="165" fontId="13" fillId="0" borderId="49" xfId="1" applyNumberFormat="1" applyFont="1" applyBorder="1" applyAlignment="1">
      <alignment horizontal="center"/>
    </xf>
    <xf numFmtId="165" fontId="13" fillId="0" borderId="50" xfId="1" applyNumberFormat="1" applyFont="1" applyBorder="1" applyAlignment="1">
      <alignment horizontal="center"/>
    </xf>
    <xf numFmtId="3" fontId="15" fillId="0" borderId="14" xfId="0" applyNumberFormat="1" applyFont="1" applyBorder="1" applyAlignment="1">
      <alignment horizontal="center"/>
    </xf>
    <xf numFmtId="3" fontId="13" fillId="2" borderId="42" xfId="0" applyNumberFormat="1" applyFont="1" applyFill="1" applyBorder="1" applyAlignment="1">
      <alignment horizontal="center"/>
    </xf>
    <xf numFmtId="3" fontId="13" fillId="2" borderId="31" xfId="0" applyNumberFormat="1" applyFont="1" applyFill="1" applyBorder="1" applyAlignment="1">
      <alignment horizontal="center"/>
    </xf>
    <xf numFmtId="3" fontId="13" fillId="2" borderId="32" xfId="0" applyNumberFormat="1" applyFont="1" applyFill="1" applyBorder="1" applyAlignment="1">
      <alignment horizontal="center"/>
    </xf>
    <xf numFmtId="3" fontId="13" fillId="2" borderId="45" xfId="0" applyNumberFormat="1" applyFont="1" applyFill="1" applyBorder="1" applyAlignment="1">
      <alignment horizontal="center"/>
    </xf>
    <xf numFmtId="3" fontId="13" fillId="2" borderId="16" xfId="0" applyNumberFormat="1" applyFont="1" applyFill="1" applyBorder="1" applyAlignment="1">
      <alignment horizontal="center"/>
    </xf>
    <xf numFmtId="3" fontId="13" fillId="2" borderId="48" xfId="0" applyNumberFormat="1" applyFont="1" applyFill="1" applyBorder="1" applyAlignment="1">
      <alignment horizontal="center"/>
    </xf>
    <xf numFmtId="3" fontId="13" fillId="2" borderId="17" xfId="0" applyNumberFormat="1" applyFont="1" applyFill="1" applyBorder="1" applyAlignment="1">
      <alignment horizontal="center"/>
    </xf>
    <xf numFmtId="3" fontId="13" fillId="2" borderId="30" xfId="0" applyNumberFormat="1" applyFont="1" applyFill="1" applyBorder="1" applyAlignment="1">
      <alignment horizontal="center"/>
    </xf>
    <xf numFmtId="0" fontId="8" fillId="0" borderId="51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left" vertical="center" wrapText="1"/>
    </xf>
    <xf numFmtId="3" fontId="18" fillId="2" borderId="32" xfId="0" applyNumberFormat="1" applyFont="1" applyFill="1" applyBorder="1" applyAlignment="1">
      <alignment horizontal="center"/>
    </xf>
    <xf numFmtId="0" fontId="15" fillId="0" borderId="45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165" fontId="14" fillId="2" borderId="11" xfId="1" applyNumberFormat="1" applyFont="1" applyFill="1" applyBorder="1"/>
    <xf numFmtId="165" fontId="14" fillId="0" borderId="11" xfId="1" applyNumberFormat="1" applyFont="1" applyFill="1" applyBorder="1"/>
    <xf numFmtId="3" fontId="18" fillId="2" borderId="53" xfId="0" applyNumberFormat="1" applyFont="1" applyFill="1" applyBorder="1" applyAlignment="1">
      <alignment horizontal="center"/>
    </xf>
    <xf numFmtId="0" fontId="15" fillId="0" borderId="52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/>
    </xf>
    <xf numFmtId="3" fontId="18" fillId="2" borderId="56" xfId="0" applyNumberFormat="1" applyFont="1" applyFill="1" applyBorder="1" applyAlignment="1">
      <alignment horizontal="center"/>
    </xf>
    <xf numFmtId="0" fontId="8" fillId="0" borderId="42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165" fontId="14" fillId="0" borderId="57" xfId="1" applyNumberFormat="1" applyFont="1" applyBorder="1"/>
    <xf numFmtId="165" fontId="14" fillId="0" borderId="25" xfId="1" applyNumberFormat="1" applyFont="1" applyBorder="1"/>
    <xf numFmtId="165" fontId="14" fillId="0" borderId="58" xfId="1" applyNumberFormat="1" applyFont="1" applyBorder="1"/>
    <xf numFmtId="165" fontId="15" fillId="0" borderId="51" xfId="1" applyNumberFormat="1" applyFont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3" fontId="8" fillId="2" borderId="32" xfId="0" applyNumberFormat="1" applyFont="1" applyFill="1" applyBorder="1" applyAlignment="1">
      <alignment horizontal="center"/>
    </xf>
    <xf numFmtId="3" fontId="8" fillId="2" borderId="16" xfId="0" applyNumberFormat="1" applyFont="1" applyFill="1" applyBorder="1" applyAlignment="1">
      <alignment horizontal="center"/>
    </xf>
    <xf numFmtId="3" fontId="8" fillId="2" borderId="53" xfId="0" applyNumberFormat="1" applyFont="1" applyFill="1" applyBorder="1" applyAlignment="1">
      <alignment horizontal="center"/>
    </xf>
    <xf numFmtId="3" fontId="8" fillId="2" borderId="56" xfId="0" applyNumberFormat="1" applyFont="1" applyFill="1" applyBorder="1" applyAlignment="1">
      <alignment horizontal="center"/>
    </xf>
    <xf numFmtId="165" fontId="14" fillId="2" borderId="31" xfId="1" applyNumberFormat="1" applyFont="1" applyFill="1" applyBorder="1" applyAlignment="1">
      <alignment horizontal="center"/>
    </xf>
    <xf numFmtId="165" fontId="14" fillId="2" borderId="8" xfId="1" applyNumberFormat="1" applyFont="1" applyFill="1" applyBorder="1" applyAlignment="1">
      <alignment horizontal="center"/>
    </xf>
    <xf numFmtId="165" fontId="8" fillId="2" borderId="19" xfId="1" applyNumberFormat="1" applyFont="1" applyFill="1" applyBorder="1"/>
    <xf numFmtId="165" fontId="0" fillId="0" borderId="0" xfId="1" applyNumberFormat="1" applyFont="1"/>
    <xf numFmtId="165" fontId="15" fillId="0" borderId="51" xfId="1" applyNumberFormat="1" applyFont="1" applyBorder="1" applyAlignment="1">
      <alignment horizontal="center" vertical="center" wrapText="1"/>
    </xf>
    <xf numFmtId="165" fontId="6" fillId="0" borderId="0" xfId="1" applyNumberFormat="1" applyFont="1" applyAlignment="1">
      <alignment vertical="center" wrapText="1"/>
    </xf>
    <xf numFmtId="165" fontId="7" fillId="0" borderId="0" xfId="1" applyNumberFormat="1" applyFont="1"/>
    <xf numFmtId="0" fontId="13" fillId="5" borderId="4" xfId="0" applyFont="1" applyFill="1" applyBorder="1"/>
    <xf numFmtId="0" fontId="13" fillId="5" borderId="4" xfId="0" applyFont="1" applyFill="1" applyBorder="1" applyAlignment="1">
      <alignment horizontal="center"/>
    </xf>
    <xf numFmtId="165" fontId="15" fillId="0" borderId="41" xfId="1" applyNumberFormat="1" applyFont="1" applyBorder="1"/>
    <xf numFmtId="165" fontId="15" fillId="0" borderId="59" xfId="1" applyNumberFormat="1" applyFont="1" applyBorder="1"/>
    <xf numFmtId="165" fontId="15" fillId="0" borderId="60" xfId="1" applyNumberFormat="1" applyFont="1" applyBorder="1"/>
    <xf numFmtId="165" fontId="15" fillId="0" borderId="40" xfId="1" applyNumberFormat="1" applyFont="1" applyBorder="1" applyAlignment="1">
      <alignment horizontal="right"/>
    </xf>
    <xf numFmtId="165" fontId="15" fillId="0" borderId="4" xfId="1" applyNumberFormat="1" applyFont="1" applyBorder="1"/>
    <xf numFmtId="165" fontId="13" fillId="0" borderId="5" xfId="1" applyNumberFormat="1" applyFont="1" applyFill="1" applyBorder="1"/>
    <xf numFmtId="0" fontId="48" fillId="0" borderId="11" xfId="0" applyFont="1" applyBorder="1" applyAlignment="1">
      <alignment horizontal="left" vertical="center"/>
    </xf>
    <xf numFmtId="165" fontId="6" fillId="0" borderId="11" xfId="0" applyNumberFormat="1" applyFont="1" applyBorder="1"/>
    <xf numFmtId="3" fontId="40" fillId="5" borderId="21" xfId="0" applyNumberFormat="1" applyFont="1" applyFill="1" applyBorder="1"/>
    <xf numFmtId="3" fontId="40" fillId="5" borderId="9" xfId="0" applyNumberFormat="1" applyFont="1" applyFill="1" applyBorder="1"/>
    <xf numFmtId="3" fontId="41" fillId="5" borderId="10" xfId="0" applyNumberFormat="1" applyFont="1" applyFill="1" applyBorder="1"/>
    <xf numFmtId="3" fontId="40" fillId="5" borderId="22" xfId="0" applyNumberFormat="1" applyFont="1" applyFill="1" applyBorder="1"/>
    <xf numFmtId="3" fontId="40" fillId="5" borderId="8" xfId="0" applyNumberFormat="1" applyFont="1" applyFill="1" applyBorder="1"/>
    <xf numFmtId="3" fontId="41" fillId="5" borderId="11" xfId="0" applyNumberFormat="1" applyFont="1" applyFill="1" applyBorder="1"/>
    <xf numFmtId="3" fontId="24" fillId="5" borderId="8" xfId="0" applyNumberFormat="1" applyFont="1" applyFill="1" applyBorder="1"/>
    <xf numFmtId="0" fontId="45" fillId="2" borderId="34" xfId="0" applyFont="1" applyFill="1" applyBorder="1" applyAlignment="1">
      <alignment horizontal="center" vertical="center" wrapText="1"/>
    </xf>
    <xf numFmtId="3" fontId="24" fillId="0" borderId="0" xfId="0" applyNumberFormat="1" applyFont="1" applyFill="1" applyBorder="1"/>
    <xf numFmtId="3" fontId="40" fillId="0" borderId="61" xfId="0" applyNumberFormat="1" applyFont="1" applyFill="1" applyBorder="1"/>
    <xf numFmtId="3" fontId="40" fillId="0" borderId="62" xfId="0" applyNumberFormat="1" applyFont="1" applyFill="1" applyBorder="1"/>
    <xf numFmtId="3" fontId="41" fillId="0" borderId="63" xfId="0" applyNumberFormat="1" applyFont="1" applyFill="1" applyBorder="1"/>
    <xf numFmtId="3" fontId="40" fillId="0" borderId="0" xfId="0" applyNumberFormat="1" applyFont="1" applyFill="1" applyBorder="1"/>
    <xf numFmtId="3" fontId="40" fillId="0" borderId="63" xfId="0" applyNumberFormat="1" applyFont="1" applyFill="1" applyBorder="1"/>
    <xf numFmtId="3" fontId="41" fillId="0" borderId="61" xfId="0" applyNumberFormat="1" applyFont="1" applyFill="1" applyBorder="1"/>
    <xf numFmtId="3" fontId="42" fillId="0" borderId="63" xfId="0" applyNumberFormat="1" applyFont="1" applyFill="1" applyBorder="1"/>
    <xf numFmtId="3" fontId="43" fillId="0" borderId="63" xfId="0" applyNumberFormat="1" applyFont="1" applyFill="1" applyBorder="1"/>
    <xf numFmtId="3" fontId="24" fillId="0" borderId="41" xfId="0" applyNumberFormat="1" applyFont="1" applyFill="1" applyBorder="1"/>
    <xf numFmtId="0" fontId="45" fillId="2" borderId="64" xfId="0" applyFont="1" applyFill="1" applyBorder="1" applyAlignment="1">
      <alignment vertical="center" wrapText="1"/>
    </xf>
    <xf numFmtId="3" fontId="40" fillId="2" borderId="36" xfId="0" applyNumberFormat="1" applyFont="1" applyFill="1" applyBorder="1"/>
    <xf numFmtId="3" fontId="40" fillId="2" borderId="10" xfId="0" applyNumberFormat="1" applyFont="1" applyFill="1" applyBorder="1"/>
    <xf numFmtId="3" fontId="34" fillId="2" borderId="21" xfId="0" applyNumberFormat="1" applyFont="1" applyFill="1" applyBorder="1"/>
    <xf numFmtId="3" fontId="42" fillId="2" borderId="10" xfId="0" applyNumberFormat="1" applyFont="1" applyFill="1" applyBorder="1"/>
    <xf numFmtId="3" fontId="43" fillId="2" borderId="10" xfId="0" applyNumberFormat="1" applyFont="1" applyFill="1" applyBorder="1"/>
    <xf numFmtId="0" fontId="45" fillId="2" borderId="1" xfId="0" applyFont="1" applyFill="1" applyBorder="1" applyAlignment="1">
      <alignment horizontal="center" vertical="center" wrapText="1"/>
    </xf>
    <xf numFmtId="3" fontId="24" fillId="0" borderId="2" xfId="0" applyNumberFormat="1" applyFont="1" applyFill="1" applyBorder="1"/>
    <xf numFmtId="3" fontId="24" fillId="5" borderId="9" xfId="0" applyNumberFormat="1" applyFont="1" applyFill="1" applyBorder="1"/>
    <xf numFmtId="3" fontId="24" fillId="0" borderId="10" xfId="0" applyNumberFormat="1" applyFont="1" applyFill="1" applyBorder="1"/>
    <xf numFmtId="3" fontId="24" fillId="0" borderId="21" xfId="0" applyNumberFormat="1" applyFont="1" applyFill="1" applyBorder="1"/>
    <xf numFmtId="3" fontId="24" fillId="0" borderId="25" xfId="0" applyNumberFormat="1" applyFont="1" applyFill="1" applyBorder="1"/>
    <xf numFmtId="3" fontId="24" fillId="0" borderId="26" xfId="0" applyNumberFormat="1" applyFont="1" applyFill="1" applyBorder="1"/>
    <xf numFmtId="3" fontId="24" fillId="0" borderId="24" xfId="0" applyNumberFormat="1" applyFont="1" applyFill="1" applyBorder="1"/>
    <xf numFmtId="3" fontId="41" fillId="2" borderId="25" xfId="0" applyNumberFormat="1" applyFont="1" applyFill="1" applyBorder="1"/>
    <xf numFmtId="3" fontId="42" fillId="2" borderId="25" xfId="0" applyNumberFormat="1" applyFont="1" applyFill="1" applyBorder="1"/>
    <xf numFmtId="3" fontId="41" fillId="2" borderId="25" xfId="0" applyNumberFormat="1" applyFont="1" applyFill="1" applyBorder="1" applyAlignment="1">
      <alignment horizontal="right"/>
    </xf>
    <xf numFmtId="3" fontId="43" fillId="2" borderId="25" xfId="0" applyNumberFormat="1" applyFont="1" applyFill="1" applyBorder="1"/>
    <xf numFmtId="3" fontId="43" fillId="2" borderId="25" xfId="0" applyNumberFormat="1" applyFont="1" applyFill="1" applyBorder="1" applyAlignment="1">
      <alignment horizontal="right"/>
    </xf>
    <xf numFmtId="3" fontId="40" fillId="0" borderId="26" xfId="0" applyNumberFormat="1" applyFont="1" applyFill="1" applyBorder="1"/>
    <xf numFmtId="3" fontId="24" fillId="0" borderId="3" xfId="0" applyNumberFormat="1" applyFont="1" applyFill="1" applyBorder="1"/>
    <xf numFmtId="3" fontId="24" fillId="2" borderId="55" xfId="0" applyNumberFormat="1" applyFont="1" applyFill="1" applyBorder="1"/>
    <xf numFmtId="3" fontId="24" fillId="0" borderId="12" xfId="0" applyNumberFormat="1" applyFont="1" applyFill="1" applyBorder="1"/>
    <xf numFmtId="3" fontId="24" fillId="2" borderId="64" xfId="0" applyNumberFormat="1" applyFont="1" applyFill="1" applyBorder="1"/>
    <xf numFmtId="3" fontId="24" fillId="2" borderId="35" xfId="0" applyNumberFormat="1" applyFont="1" applyFill="1" applyBorder="1"/>
    <xf numFmtId="3" fontId="23" fillId="2" borderId="41" xfId="0" applyNumberFormat="1" applyFont="1" applyFill="1" applyBorder="1" applyAlignment="1">
      <alignment wrapText="1"/>
    </xf>
    <xf numFmtId="165" fontId="13" fillId="5" borderId="12" xfId="1" applyNumberFormat="1" applyFont="1" applyFill="1" applyBorder="1"/>
    <xf numFmtId="165" fontId="13" fillId="5" borderId="2" xfId="1" applyNumberFormat="1" applyFont="1" applyFill="1" applyBorder="1"/>
    <xf numFmtId="165" fontId="13" fillId="5" borderId="3" xfId="1" applyNumberFormat="1" applyFont="1" applyFill="1" applyBorder="1"/>
    <xf numFmtId="165" fontId="15" fillId="5" borderId="14" xfId="1" applyNumberFormat="1" applyFont="1" applyFill="1" applyBorder="1"/>
    <xf numFmtId="165" fontId="15" fillId="5" borderId="1" xfId="1" applyNumberFormat="1" applyFont="1" applyFill="1" applyBorder="1"/>
    <xf numFmtId="165" fontId="13" fillId="5" borderId="5" xfId="1" applyNumberFormat="1" applyFont="1" applyFill="1" applyBorder="1"/>
    <xf numFmtId="165" fontId="13" fillId="5" borderId="6" xfId="1" applyNumberFormat="1" applyFont="1" applyFill="1" applyBorder="1"/>
    <xf numFmtId="1" fontId="0" fillId="0" borderId="0" xfId="0" applyNumberFormat="1" applyAlignment="1">
      <alignment horizontal="center"/>
    </xf>
    <xf numFmtId="1" fontId="0" fillId="0" borderId="16" xfId="0" applyNumberFormat="1" applyBorder="1" applyAlignment="1">
      <alignment horizontal="center"/>
    </xf>
    <xf numFmtId="1" fontId="6" fillId="0" borderId="53" xfId="0" applyNumberFormat="1" applyFont="1" applyBorder="1" applyAlignment="1">
      <alignment horizontal="center"/>
    </xf>
    <xf numFmtId="0" fontId="47" fillId="0" borderId="31" xfId="0" applyFont="1" applyBorder="1" applyAlignment="1">
      <alignment horizontal="left" vertical="center" wrapText="1"/>
    </xf>
    <xf numFmtId="1" fontId="6" fillId="0" borderId="30" xfId="0" applyNumberFormat="1" applyFont="1" applyBorder="1" applyAlignment="1">
      <alignment horizontal="center"/>
    </xf>
    <xf numFmtId="0" fontId="47" fillId="0" borderId="22" xfId="0" applyFont="1" applyBorder="1" applyAlignment="1">
      <alignment horizontal="left" vertical="center" wrapText="1"/>
    </xf>
    <xf numFmtId="165" fontId="0" fillId="0" borderId="22" xfId="0" applyNumberFormat="1" applyBorder="1"/>
    <xf numFmtId="1" fontId="0" fillId="0" borderId="65" xfId="0" applyNumberFormat="1" applyBorder="1" applyAlignment="1">
      <alignment horizontal="center"/>
    </xf>
    <xf numFmtId="0" fontId="22" fillId="0" borderId="66" xfId="0" applyFont="1" applyBorder="1" applyAlignment="1">
      <alignment vertical="center" wrapText="1"/>
    </xf>
    <xf numFmtId="0" fontId="46" fillId="0" borderId="33" xfId="0" applyFont="1" applyBorder="1"/>
    <xf numFmtId="1" fontId="46" fillId="0" borderId="67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5" fillId="0" borderId="68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165" fontId="8" fillId="2" borderId="69" xfId="1" applyNumberFormat="1" applyFont="1" applyFill="1" applyBorder="1" applyAlignment="1">
      <alignment horizontal="center"/>
    </xf>
    <xf numFmtId="165" fontId="8" fillId="2" borderId="68" xfId="1" applyNumberFormat="1" applyFont="1" applyFill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0" fontId="15" fillId="0" borderId="41" xfId="0" applyFont="1" applyBorder="1" applyAlignment="1">
      <alignment horizontal="left" vertical="center" wrapText="1"/>
    </xf>
    <xf numFmtId="0" fontId="15" fillId="0" borderId="60" xfId="0" applyFont="1" applyBorder="1" applyAlignment="1">
      <alignment horizontal="left" vertical="center" wrapText="1"/>
    </xf>
    <xf numFmtId="0" fontId="15" fillId="0" borderId="70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/>
    </xf>
    <xf numFmtId="3" fontId="18" fillId="2" borderId="1" xfId="0" applyNumberFormat="1" applyFont="1" applyFill="1" applyBorder="1" applyAlignment="1">
      <alignment horizontal="center"/>
    </xf>
    <xf numFmtId="3" fontId="18" fillId="2" borderId="35" xfId="0" applyNumberFormat="1" applyFont="1" applyFill="1" applyBorder="1" applyAlignment="1">
      <alignment horizontal="center"/>
    </xf>
    <xf numFmtId="165" fontId="8" fillId="2" borderId="59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165" fontId="8" fillId="2" borderId="0" xfId="1" applyNumberFormat="1" applyFont="1" applyFill="1" applyBorder="1" applyAlignment="1">
      <alignment horizontal="center"/>
    </xf>
    <xf numFmtId="165" fontId="8" fillId="2" borderId="23" xfId="1" applyNumberFormat="1" applyFont="1" applyFill="1" applyBorder="1" applyAlignment="1">
      <alignment horizontal="center"/>
    </xf>
    <xf numFmtId="3" fontId="18" fillId="2" borderId="23" xfId="0" applyNumberFormat="1" applyFont="1" applyFill="1" applyBorder="1" applyAlignment="1">
      <alignment horizontal="center"/>
    </xf>
    <xf numFmtId="0" fontId="46" fillId="0" borderId="67" xfId="0" applyFont="1" applyBorder="1" applyAlignment="1">
      <alignment horizontal="center"/>
    </xf>
    <xf numFmtId="3" fontId="40" fillId="0" borderId="24" xfId="0" applyNumberFormat="1" applyFont="1" applyFill="1" applyBorder="1"/>
    <xf numFmtId="3" fontId="23" fillId="0" borderId="23" xfId="0" applyNumberFormat="1" applyFont="1" applyFill="1" applyBorder="1" applyAlignment="1">
      <alignment wrapText="1"/>
    </xf>
    <xf numFmtId="3" fontId="24" fillId="0" borderId="36" xfId="0" applyNumberFormat="1" applyFont="1" applyFill="1" applyBorder="1"/>
    <xf numFmtId="3" fontId="24" fillId="0" borderId="37" xfId="0" applyNumberFormat="1" applyFont="1" applyFill="1" applyBorder="1"/>
    <xf numFmtId="3" fontId="24" fillId="0" borderId="38" xfId="0" applyNumberFormat="1" applyFont="1" applyFill="1" applyBorder="1"/>
    <xf numFmtId="3" fontId="24" fillId="0" borderId="23" xfId="0" applyNumberFormat="1" applyFont="1" applyFill="1" applyBorder="1"/>
    <xf numFmtId="3" fontId="24" fillId="2" borderId="36" xfId="0" applyNumberFormat="1" applyFont="1" applyFill="1" applyBorder="1"/>
    <xf numFmtId="3" fontId="24" fillId="2" borderId="37" xfId="0" applyNumberFormat="1" applyFont="1" applyFill="1" applyBorder="1"/>
    <xf numFmtId="3" fontId="24" fillId="2" borderId="38" xfId="0" applyNumberFormat="1" applyFont="1" applyFill="1" applyBorder="1"/>
    <xf numFmtId="3" fontId="24" fillId="5" borderId="27" xfId="0" applyNumberFormat="1" applyFont="1" applyFill="1" applyBorder="1"/>
    <xf numFmtId="3" fontId="24" fillId="0" borderId="59" xfId="0" applyNumberFormat="1" applyFont="1" applyFill="1" applyBorder="1"/>
    <xf numFmtId="3" fontId="24" fillId="0" borderId="15" xfId="0" applyNumberFormat="1" applyFont="1" applyFill="1" applyBorder="1"/>
    <xf numFmtId="3" fontId="24" fillId="5" borderId="21" xfId="0" applyNumberFormat="1" applyFont="1" applyFill="1" applyBorder="1"/>
    <xf numFmtId="3" fontId="24" fillId="5" borderId="22" xfId="0" applyNumberFormat="1" applyFont="1" applyFill="1" applyBorder="1"/>
    <xf numFmtId="3" fontId="24" fillId="2" borderId="51" xfId="0" applyNumberFormat="1" applyFont="1" applyFill="1" applyBorder="1"/>
    <xf numFmtId="3" fontId="24" fillId="2" borderId="15" xfId="0" applyNumberFormat="1" applyFont="1" applyFill="1" applyBorder="1"/>
    <xf numFmtId="3" fontId="40" fillId="0" borderId="1" xfId="0" applyNumberFormat="1" applyFont="1" applyFill="1" applyBorder="1"/>
    <xf numFmtId="3" fontId="40" fillId="0" borderId="12" xfId="0" applyNumberFormat="1" applyFont="1" applyFill="1" applyBorder="1"/>
    <xf numFmtId="3" fontId="40" fillId="0" borderId="2" xfId="0" applyNumberFormat="1" applyFont="1" applyFill="1" applyBorder="1"/>
    <xf numFmtId="3" fontId="40" fillId="0" borderId="3" xfId="0" applyNumberFormat="1" applyFont="1" applyFill="1" applyBorder="1"/>
    <xf numFmtId="0" fontId="0" fillId="5" borderId="0" xfId="0" applyFill="1"/>
    <xf numFmtId="165" fontId="0" fillId="5" borderId="0" xfId="0" applyNumberFormat="1" applyFill="1"/>
    <xf numFmtId="165" fontId="13" fillId="5" borderId="0" xfId="1" applyNumberFormat="1" applyFont="1" applyFill="1" applyBorder="1"/>
    <xf numFmtId="0" fontId="15" fillId="0" borderId="41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60" xfId="0" applyFont="1" applyBorder="1" applyAlignment="1">
      <alignment vertical="center" wrapText="1"/>
    </xf>
    <xf numFmtId="0" fontId="15" fillId="0" borderId="66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52" xfId="0" applyFont="1" applyBorder="1" applyAlignment="1">
      <alignment vertical="center" wrapText="1"/>
    </xf>
    <xf numFmtId="165" fontId="14" fillId="0" borderId="11" xfId="1" applyNumberFormat="1" applyFont="1" applyBorder="1"/>
    <xf numFmtId="165" fontId="14" fillId="0" borderId="26" xfId="1" applyNumberFormat="1" applyFont="1" applyBorder="1"/>
    <xf numFmtId="0" fontId="15" fillId="0" borderId="55" xfId="0" applyFont="1" applyBorder="1" applyAlignment="1">
      <alignment vertical="center" wrapText="1"/>
    </xf>
    <xf numFmtId="165" fontId="8" fillId="0" borderId="19" xfId="1" applyNumberFormat="1" applyFont="1" applyBorder="1"/>
    <xf numFmtId="165" fontId="8" fillId="0" borderId="56" xfId="1" applyNumberFormat="1" applyFont="1" applyBorder="1"/>
    <xf numFmtId="165" fontId="8" fillId="0" borderId="55" xfId="1" applyNumberFormat="1" applyFont="1" applyBorder="1"/>
    <xf numFmtId="165" fontId="8" fillId="0" borderId="64" xfId="1" applyNumberFormat="1" applyFont="1" applyBorder="1"/>
    <xf numFmtId="165" fontId="8" fillId="0" borderId="13" xfId="1" applyNumberFormat="1" applyFont="1" applyBorder="1"/>
    <xf numFmtId="0" fontId="14" fillId="0" borderId="0" xfId="15"/>
    <xf numFmtId="0" fontId="14" fillId="0" borderId="0" xfId="15" applyAlignment="1"/>
    <xf numFmtId="0" fontId="51" fillId="0" borderId="0" xfId="15" applyFont="1" applyAlignment="1">
      <alignment horizontal="center"/>
    </xf>
    <xf numFmtId="167" fontId="14" fillId="0" borderId="0" xfId="4" applyNumberFormat="1" applyFont="1" applyFill="1" applyBorder="1" applyAlignment="1" applyProtection="1"/>
    <xf numFmtId="0" fontId="49" fillId="0" borderId="73" xfId="15" applyFont="1" applyBorder="1" applyAlignment="1">
      <alignment wrapText="1"/>
    </xf>
    <xf numFmtId="0" fontId="49" fillId="0" borderId="74" xfId="15" applyFont="1" applyBorder="1" applyAlignment="1">
      <alignment horizontal="center"/>
    </xf>
    <xf numFmtId="167" fontId="49" fillId="0" borderId="75" xfId="4" applyNumberFormat="1" applyFont="1" applyFill="1" applyBorder="1" applyAlignment="1" applyProtection="1"/>
    <xf numFmtId="0" fontId="50" fillId="0" borderId="76" xfId="15" applyFont="1" applyBorder="1"/>
    <xf numFmtId="0" fontId="50" fillId="0" borderId="77" xfId="15" applyFont="1" applyBorder="1"/>
    <xf numFmtId="167" fontId="50" fillId="0" borderId="78" xfId="4" applyNumberFormat="1" applyFont="1" applyFill="1" applyBorder="1" applyAlignment="1" applyProtection="1"/>
    <xf numFmtId="0" fontId="50" fillId="0" borderId="79" xfId="15" applyFont="1" applyBorder="1"/>
    <xf numFmtId="0" fontId="50" fillId="0" borderId="80" xfId="15" applyFont="1" applyBorder="1"/>
    <xf numFmtId="167" fontId="50" fillId="0" borderId="81" xfId="4" applyNumberFormat="1" applyFont="1" applyFill="1" applyBorder="1" applyAlignment="1" applyProtection="1"/>
    <xf numFmtId="0" fontId="49" fillId="0" borderId="82" xfId="15" applyFont="1" applyBorder="1"/>
    <xf numFmtId="0" fontId="49" fillId="0" borderId="83" xfId="15" applyFont="1" applyBorder="1"/>
    <xf numFmtId="167" fontId="49" fillId="0" borderId="84" xfId="4" applyNumberFormat="1" applyFont="1" applyFill="1" applyBorder="1" applyAlignment="1" applyProtection="1"/>
    <xf numFmtId="0" fontId="53" fillId="0" borderId="0" xfId="15" applyFont="1"/>
    <xf numFmtId="0" fontId="50" fillId="0" borderId="85" xfId="15" applyFont="1" applyBorder="1"/>
    <xf numFmtId="0" fontId="50" fillId="0" borderId="86" xfId="15" applyFont="1" applyBorder="1"/>
    <xf numFmtId="167" fontId="50" fillId="0" borderId="87" xfId="4" applyNumberFormat="1" applyFont="1" applyFill="1" applyBorder="1" applyAlignment="1" applyProtection="1"/>
    <xf numFmtId="0" fontId="14" fillId="0" borderId="0" xfId="15" applyFont="1"/>
    <xf numFmtId="0" fontId="55" fillId="0" borderId="0" xfId="15" applyFont="1"/>
    <xf numFmtId="0" fontId="50" fillId="0" borderId="45" xfId="15" applyFont="1" applyBorder="1"/>
    <xf numFmtId="0" fontId="50" fillId="0" borderId="8" xfId="15" applyFont="1" applyBorder="1"/>
    <xf numFmtId="167" fontId="50" fillId="0" borderId="16" xfId="4" applyNumberFormat="1" applyFont="1" applyFill="1" applyBorder="1" applyAlignment="1" applyProtection="1"/>
    <xf numFmtId="0" fontId="51" fillId="0" borderId="73" xfId="15" applyFont="1" applyBorder="1"/>
    <xf numFmtId="0" fontId="51" fillId="0" borderId="74" xfId="15" applyFont="1" applyBorder="1"/>
    <xf numFmtId="167" fontId="51" fillId="0" borderId="75" xfId="4" applyNumberFormat="1" applyFont="1" applyFill="1" applyBorder="1" applyAlignment="1" applyProtection="1"/>
    <xf numFmtId="0" fontId="51" fillId="0" borderId="82" xfId="15" applyFont="1" applyBorder="1"/>
    <xf numFmtId="167" fontId="51" fillId="0" borderId="84" xfId="4" applyNumberFormat="1" applyFont="1" applyFill="1" applyBorder="1" applyAlignment="1" applyProtection="1"/>
    <xf numFmtId="165" fontId="16" fillId="0" borderId="0" xfId="3" applyNumberFormat="1" applyFont="1"/>
    <xf numFmtId="0" fontId="57" fillId="0" borderId="0" xfId="14"/>
    <xf numFmtId="165" fontId="53" fillId="0" borderId="0" xfId="3" applyNumberFormat="1" applyFont="1"/>
    <xf numFmtId="165" fontId="53" fillId="0" borderId="0" xfId="3" applyNumberFormat="1" applyFont="1" applyBorder="1"/>
    <xf numFmtId="165" fontId="8" fillId="0" borderId="0" xfId="3" applyNumberFormat="1" applyFont="1" applyBorder="1"/>
    <xf numFmtId="0" fontId="60" fillId="0" borderId="0" xfId="14" applyFont="1"/>
    <xf numFmtId="0" fontId="61" fillId="0" borderId="0" xfId="14" applyFont="1" applyAlignment="1">
      <alignment horizontal="center" wrapText="1"/>
    </xf>
    <xf numFmtId="165" fontId="63" fillId="0" borderId="31" xfId="3" applyNumberFormat="1" applyFont="1" applyBorder="1" applyAlignment="1">
      <alignment horizontal="center"/>
    </xf>
    <xf numFmtId="165" fontId="63" fillId="0" borderId="32" xfId="3" applyNumberFormat="1" applyFont="1" applyBorder="1" applyAlignment="1">
      <alignment horizontal="center"/>
    </xf>
    <xf numFmtId="165" fontId="63" fillId="0" borderId="8" xfId="3" applyNumberFormat="1" applyFont="1" applyBorder="1" applyAlignment="1">
      <alignment horizontal="center"/>
    </xf>
    <xf numFmtId="165" fontId="63" fillId="0" borderId="16" xfId="3" applyNumberFormat="1" applyFont="1" applyBorder="1" applyAlignment="1">
      <alignment horizontal="center"/>
    </xf>
    <xf numFmtId="165" fontId="63" fillId="0" borderId="8" xfId="3" applyNumberFormat="1" applyFont="1" applyBorder="1"/>
    <xf numFmtId="165" fontId="63" fillId="0" borderId="16" xfId="3" applyNumberFormat="1" applyFont="1" applyBorder="1"/>
    <xf numFmtId="0" fontId="62" fillId="0" borderId="0" xfId="14" applyFont="1" applyAlignment="1">
      <alignment horizontal="center"/>
    </xf>
    <xf numFmtId="0" fontId="60" fillId="0" borderId="0" xfId="15" applyFont="1"/>
    <xf numFmtId="0" fontId="60" fillId="0" borderId="48" xfId="15" applyFont="1" applyBorder="1" applyAlignment="1">
      <alignment horizontal="center"/>
    </xf>
    <xf numFmtId="0" fontId="60" fillId="0" borderId="17" xfId="15" applyFont="1" applyBorder="1" applyAlignment="1">
      <alignment horizontal="center"/>
    </xf>
    <xf numFmtId="0" fontId="60" fillId="0" borderId="30" xfId="15" applyFont="1" applyBorder="1" applyAlignment="1">
      <alignment horizontal="center"/>
    </xf>
    <xf numFmtId="0" fontId="60" fillId="0" borderId="42" xfId="15" applyFont="1" applyBorder="1" applyAlignment="1">
      <alignment horizontal="center"/>
    </xf>
    <xf numFmtId="0" fontId="60" fillId="0" borderId="31" xfId="15" applyFont="1" applyBorder="1"/>
    <xf numFmtId="0" fontId="60" fillId="0" borderId="45" xfId="15" applyFont="1" applyBorder="1" applyAlignment="1">
      <alignment horizontal="center"/>
    </xf>
    <xf numFmtId="0" fontId="60" fillId="0" borderId="8" xfId="15" applyFont="1" applyBorder="1"/>
    <xf numFmtId="0" fontId="63" fillId="0" borderId="8" xfId="15" applyFont="1" applyBorder="1"/>
    <xf numFmtId="165" fontId="65" fillId="0" borderId="88" xfId="15" applyNumberFormat="1" applyFont="1" applyBorder="1"/>
    <xf numFmtId="0" fontId="52" fillId="0" borderId="0" xfId="9"/>
    <xf numFmtId="167" fontId="52" fillId="0" borderId="0" xfId="4" applyNumberFormat="1" applyFill="1" applyBorder="1" applyAlignment="1" applyProtection="1"/>
    <xf numFmtId="0" fontId="5" fillId="0" borderId="0" xfId="9" applyFont="1"/>
    <xf numFmtId="167" fontId="52" fillId="0" borderId="0" xfId="9" applyNumberFormat="1"/>
    <xf numFmtId="0" fontId="71" fillId="0" borderId="0" xfId="9" applyFont="1" applyBorder="1" applyAlignment="1"/>
    <xf numFmtId="0" fontId="71" fillId="0" borderId="0" xfId="9" applyFont="1" applyAlignment="1">
      <alignment horizontal="center"/>
    </xf>
    <xf numFmtId="0" fontId="61" fillId="0" borderId="0" xfId="15" applyFont="1" applyAlignment="1">
      <alignment horizontal="center" wrapText="1"/>
    </xf>
    <xf numFmtId="0" fontId="65" fillId="0" borderId="0" xfId="15" applyFont="1" applyAlignment="1">
      <alignment horizontal="right"/>
    </xf>
    <xf numFmtId="0" fontId="72" fillId="0" borderId="0" xfId="15" applyFont="1"/>
    <xf numFmtId="0" fontId="65" fillId="0" borderId="0" xfId="15" applyFont="1" applyAlignment="1">
      <alignment horizontal="justify"/>
    </xf>
    <xf numFmtId="0" fontId="51" fillId="0" borderId="0" xfId="15" applyFont="1" applyBorder="1" applyAlignment="1">
      <alignment horizontal="center"/>
    </xf>
    <xf numFmtId="0" fontId="61" fillId="0" borderId="8" xfId="14" applyFont="1" applyBorder="1" applyAlignment="1">
      <alignment vertical="center" wrapText="1"/>
    </xf>
    <xf numFmtId="0" fontId="61" fillId="0" borderId="16" xfId="14" applyFont="1" applyBorder="1" applyAlignment="1">
      <alignment vertical="center" wrapText="1"/>
    </xf>
    <xf numFmtId="0" fontId="60" fillId="0" borderId="48" xfId="14" applyFont="1" applyBorder="1" applyAlignment="1">
      <alignment horizontal="center"/>
    </xf>
    <xf numFmtId="0" fontId="60" fillId="0" borderId="17" xfId="14" applyFont="1" applyBorder="1" applyAlignment="1">
      <alignment horizontal="center"/>
    </xf>
    <xf numFmtId="0" fontId="60" fillId="0" borderId="30" xfId="14" applyFont="1" applyBorder="1" applyAlignment="1">
      <alignment horizontal="center"/>
    </xf>
    <xf numFmtId="0" fontId="60" fillId="0" borderId="42" xfId="14" applyFont="1" applyBorder="1" applyAlignment="1">
      <alignment horizontal="center"/>
    </xf>
    <xf numFmtId="0" fontId="60" fillId="0" borderId="31" xfId="14" applyFont="1" applyBorder="1"/>
    <xf numFmtId="0" fontId="60" fillId="0" borderId="45" xfId="14" applyFont="1" applyBorder="1" applyAlignment="1">
      <alignment horizontal="center"/>
    </xf>
    <xf numFmtId="0" fontId="60" fillId="0" borderId="8" xfId="14" applyFont="1" applyBorder="1"/>
    <xf numFmtId="0" fontId="63" fillId="0" borderId="8" xfId="14" applyFont="1" applyBorder="1"/>
    <xf numFmtId="0" fontId="63" fillId="0" borderId="16" xfId="14" applyFont="1" applyBorder="1"/>
    <xf numFmtId="0" fontId="60" fillId="0" borderId="52" xfId="14" applyFont="1" applyBorder="1" applyAlignment="1">
      <alignment horizontal="center"/>
    </xf>
    <xf numFmtId="0" fontId="60" fillId="0" borderId="11" xfId="14" applyFont="1" applyBorder="1"/>
    <xf numFmtId="165" fontId="60" fillId="0" borderId="11" xfId="3" applyNumberFormat="1" applyFont="1" applyBorder="1"/>
    <xf numFmtId="165" fontId="64" fillId="0" borderId="19" xfId="3" applyNumberFormat="1" applyFont="1" applyBorder="1"/>
    <xf numFmtId="165" fontId="64" fillId="0" borderId="56" xfId="3" applyNumberFormat="1" applyFont="1" applyBorder="1"/>
    <xf numFmtId="0" fontId="63" fillId="0" borderId="42" xfId="14" applyFont="1" applyBorder="1" applyAlignment="1">
      <alignment horizontal="center"/>
    </xf>
    <xf numFmtId="0" fontId="63" fillId="0" borderId="31" xfId="14" applyFont="1" applyBorder="1"/>
    <xf numFmtId="0" fontId="60" fillId="0" borderId="32" xfId="14" applyFont="1" applyBorder="1"/>
    <xf numFmtId="0" fontId="63" fillId="0" borderId="52" xfId="14" applyFont="1" applyBorder="1" applyAlignment="1">
      <alignment horizontal="center"/>
    </xf>
    <xf numFmtId="0" fontId="63" fillId="0" borderId="11" xfId="14" applyFont="1" applyBorder="1"/>
    <xf numFmtId="0" fontId="60" fillId="0" borderId="53" xfId="14" applyFont="1" applyBorder="1"/>
    <xf numFmtId="0" fontId="60" fillId="0" borderId="19" xfId="14" applyFont="1" applyBorder="1"/>
    <xf numFmtId="0" fontId="60" fillId="0" borderId="56" xfId="14" applyFont="1" applyBorder="1"/>
    <xf numFmtId="165" fontId="65" fillId="0" borderId="88" xfId="14" applyNumberFormat="1" applyFont="1" applyBorder="1"/>
    <xf numFmtId="0" fontId="61" fillId="0" borderId="8" xfId="15" applyFont="1" applyBorder="1" applyAlignment="1">
      <alignment vertical="center" wrapText="1"/>
    </xf>
    <xf numFmtId="0" fontId="61" fillId="0" borderId="16" xfId="15" applyFont="1" applyBorder="1" applyAlignment="1">
      <alignment vertical="center" wrapText="1"/>
    </xf>
    <xf numFmtId="0" fontId="60" fillId="0" borderId="52" xfId="15" applyFont="1" applyBorder="1" applyAlignment="1">
      <alignment horizontal="center"/>
    </xf>
    <xf numFmtId="0" fontId="60" fillId="0" borderId="11" xfId="15" applyFont="1" applyBorder="1"/>
    <xf numFmtId="0" fontId="63" fillId="0" borderId="42" xfId="15" applyFont="1" applyBorder="1" applyAlignment="1">
      <alignment horizontal="center"/>
    </xf>
    <xf numFmtId="0" fontId="63" fillId="0" borderId="31" xfId="15" applyFont="1" applyBorder="1"/>
    <xf numFmtId="0" fontId="60" fillId="0" borderId="32" xfId="15" applyFont="1" applyBorder="1"/>
    <xf numFmtId="0" fontId="63" fillId="0" borderId="52" xfId="15" applyFont="1" applyBorder="1" applyAlignment="1">
      <alignment horizontal="center"/>
    </xf>
    <xf numFmtId="0" fontId="63" fillId="0" borderId="11" xfId="15" applyFont="1" applyBorder="1"/>
    <xf numFmtId="0" fontId="60" fillId="0" borderId="53" xfId="15" applyFont="1" applyBorder="1"/>
    <xf numFmtId="0" fontId="60" fillId="0" borderId="19" xfId="15" applyFont="1" applyBorder="1"/>
    <xf numFmtId="0" fontId="60" fillId="0" borderId="56" xfId="15" applyFont="1" applyBorder="1"/>
    <xf numFmtId="0" fontId="76" fillId="0" borderId="55" xfId="13" applyFont="1" applyFill="1" applyBorder="1" applyAlignment="1" applyProtection="1">
      <alignment vertical="center" wrapText="1"/>
    </xf>
    <xf numFmtId="0" fontId="51" fillId="0" borderId="0" xfId="13" applyFont="1" applyFill="1" applyAlignment="1">
      <alignment horizontal="center" vertical="center"/>
    </xf>
    <xf numFmtId="0" fontId="50" fillId="0" borderId="0" xfId="13" applyFill="1"/>
    <xf numFmtId="0" fontId="85" fillId="0" borderId="66" xfId="13" applyFont="1" applyFill="1" applyBorder="1" applyAlignment="1">
      <alignment horizontal="center" vertical="center"/>
    </xf>
    <xf numFmtId="0" fontId="81" fillId="0" borderId="33" xfId="12" applyFont="1" applyFill="1" applyBorder="1" applyAlignment="1" applyProtection="1">
      <alignment horizontal="center" vertical="center" textRotation="90"/>
    </xf>
    <xf numFmtId="0" fontId="85" fillId="0" borderId="33" xfId="13" applyFont="1" applyFill="1" applyBorder="1" applyAlignment="1">
      <alignment horizontal="center" vertical="center" wrapText="1"/>
    </xf>
    <xf numFmtId="0" fontId="85" fillId="0" borderId="55" xfId="13" applyFont="1" applyFill="1" applyBorder="1" applyAlignment="1">
      <alignment horizontal="center" vertical="center"/>
    </xf>
    <xf numFmtId="0" fontId="85" fillId="0" borderId="19" xfId="13" applyFont="1" applyFill="1" applyBorder="1" applyAlignment="1">
      <alignment horizontal="center" vertical="center" wrapText="1"/>
    </xf>
    <xf numFmtId="0" fontId="77" fillId="0" borderId="45" xfId="13" applyFont="1" applyFill="1" applyBorder="1" applyProtection="1">
      <protection locked="0"/>
    </xf>
    <xf numFmtId="0" fontId="77" fillId="0" borderId="22" xfId="13" applyFont="1" applyFill="1" applyBorder="1" applyAlignment="1">
      <alignment horizontal="right" indent="1"/>
    </xf>
    <xf numFmtId="0" fontId="77" fillId="0" borderId="8" xfId="13" applyFont="1" applyFill="1" applyBorder="1" applyAlignment="1">
      <alignment horizontal="right" indent="1"/>
    </xf>
    <xf numFmtId="0" fontId="77" fillId="0" borderId="52" xfId="13" applyFont="1" applyFill="1" applyBorder="1" applyProtection="1">
      <protection locked="0"/>
    </xf>
    <xf numFmtId="0" fontId="77" fillId="0" borderId="11" xfId="13" applyFont="1" applyFill="1" applyBorder="1" applyAlignment="1">
      <alignment horizontal="right" indent="1"/>
    </xf>
    <xf numFmtId="0" fontId="76" fillId="0" borderId="55" xfId="13" applyFont="1" applyFill="1" applyBorder="1" applyProtection="1">
      <protection locked="0"/>
    </xf>
    <xf numFmtId="0" fontId="77" fillId="0" borderId="19" xfId="13" applyFont="1" applyFill="1" applyBorder="1" applyAlignment="1">
      <alignment horizontal="right" indent="1"/>
    </xf>
    <xf numFmtId="0" fontId="77" fillId="0" borderId="89" xfId="13" applyFont="1" applyFill="1" applyBorder="1" applyProtection="1">
      <protection locked="0"/>
    </xf>
    <xf numFmtId="0" fontId="86" fillId="0" borderId="0" xfId="13" applyFont="1" applyFill="1"/>
    <xf numFmtId="3" fontId="77" fillId="0" borderId="22" xfId="13" applyNumberFormat="1" applyFont="1" applyFill="1" applyBorder="1" applyAlignment="1" applyProtection="1">
      <alignment horizontal="center"/>
      <protection locked="0"/>
    </xf>
    <xf numFmtId="3" fontId="77" fillId="0" borderId="8" xfId="13" applyNumberFormat="1" applyFont="1" applyFill="1" applyBorder="1" applyAlignment="1" applyProtection="1">
      <alignment horizontal="center"/>
      <protection locked="0"/>
    </xf>
    <xf numFmtId="3" fontId="77" fillId="0" borderId="11" xfId="13" applyNumberFormat="1" applyFont="1" applyFill="1" applyBorder="1" applyAlignment="1" applyProtection="1">
      <alignment horizontal="center"/>
      <protection locked="0"/>
    </xf>
    <xf numFmtId="0" fontId="77" fillId="0" borderId="48" xfId="13" applyFont="1" applyFill="1" applyBorder="1" applyProtection="1">
      <protection locked="0"/>
    </xf>
    <xf numFmtId="0" fontId="77" fillId="0" borderId="17" xfId="13" applyFont="1" applyFill="1" applyBorder="1" applyAlignment="1">
      <alignment horizontal="right" indent="1"/>
    </xf>
    <xf numFmtId="3" fontId="77" fillId="0" borderId="17" xfId="13" applyNumberFormat="1" applyFont="1" applyFill="1" applyBorder="1" applyAlignment="1" applyProtection="1">
      <alignment horizontal="center"/>
      <protection locked="0"/>
    </xf>
    <xf numFmtId="0" fontId="87" fillId="0" borderId="0" xfId="0" applyFont="1" applyAlignment="1" applyProtection="1">
      <alignment horizontal="right"/>
    </xf>
    <xf numFmtId="0" fontId="0" fillId="0" borderId="0" xfId="0" applyProtection="1"/>
    <xf numFmtId="0" fontId="89" fillId="0" borderId="0" xfId="0" applyFont="1" applyAlignment="1" applyProtection="1">
      <alignment horizontal="center"/>
    </xf>
    <xf numFmtId="0" fontId="89" fillId="3" borderId="19" xfId="0" applyFont="1" applyFill="1" applyBorder="1" applyAlignment="1" applyProtection="1">
      <alignment horizontal="center" vertical="top" wrapText="1"/>
    </xf>
    <xf numFmtId="0" fontId="68" fillId="0" borderId="0" xfId="0" applyFont="1"/>
    <xf numFmtId="0" fontId="68" fillId="0" borderId="0" xfId="0" applyFont="1" applyBorder="1"/>
    <xf numFmtId="0" fontId="7" fillId="0" borderId="15" xfId="0" applyFont="1" applyBorder="1"/>
    <xf numFmtId="0" fontId="7" fillId="0" borderId="60" xfId="0" applyFont="1" applyBorder="1"/>
    <xf numFmtId="0" fontId="68" fillId="0" borderId="23" xfId="0" applyFont="1" applyBorder="1"/>
    <xf numFmtId="0" fontId="68" fillId="0" borderId="70" xfId="0" applyFont="1" applyBorder="1"/>
    <xf numFmtId="0" fontId="7" fillId="0" borderId="35" xfId="0" applyFont="1" applyBorder="1"/>
    <xf numFmtId="0" fontId="68" fillId="0" borderId="15" xfId="0" applyFont="1" applyBorder="1" applyAlignment="1">
      <alignment horizontal="right"/>
    </xf>
    <xf numFmtId="0" fontId="68" fillId="0" borderId="4" xfId="0" applyFont="1" applyBorder="1" applyAlignment="1">
      <alignment horizontal="right"/>
    </xf>
    <xf numFmtId="0" fontId="7" fillId="0" borderId="70" xfId="0" applyFont="1" applyBorder="1"/>
    <xf numFmtId="3" fontId="7" fillId="0" borderId="23" xfId="0" applyNumberFormat="1" applyFont="1" applyBorder="1"/>
    <xf numFmtId="3" fontId="7" fillId="0" borderId="0" xfId="0" applyNumberFormat="1" applyFont="1" applyBorder="1"/>
    <xf numFmtId="3" fontId="7" fillId="0" borderId="70" xfId="0" applyNumberFormat="1" applyFont="1" applyBorder="1"/>
    <xf numFmtId="3" fontId="7" fillId="0" borderId="2" xfId="0" applyNumberFormat="1" applyFont="1" applyBorder="1"/>
    <xf numFmtId="0" fontId="68" fillId="0" borderId="15" xfId="0" applyFont="1" applyBorder="1" applyAlignment="1">
      <alignment horizontal="center"/>
    </xf>
    <xf numFmtId="0" fontId="68" fillId="0" borderId="4" xfId="0" applyFont="1" applyBorder="1" applyAlignment="1">
      <alignment horizontal="center"/>
    </xf>
    <xf numFmtId="0" fontId="68" fillId="0" borderId="23" xfId="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54" fillId="0" borderId="79" xfId="15" applyFont="1" applyBorder="1"/>
    <xf numFmtId="167" fontId="49" fillId="0" borderId="81" xfId="4" applyNumberFormat="1" applyFont="1" applyFill="1" applyBorder="1" applyAlignment="1" applyProtection="1"/>
    <xf numFmtId="0" fontId="49" fillId="0" borderId="55" xfId="15" applyFont="1" applyBorder="1"/>
    <xf numFmtId="0" fontId="49" fillId="0" borderId="19" xfId="15" applyFont="1" applyBorder="1"/>
    <xf numFmtId="167" fontId="49" fillId="0" borderId="56" xfId="4" applyNumberFormat="1" applyFont="1" applyFill="1" applyBorder="1" applyAlignment="1" applyProtection="1"/>
    <xf numFmtId="0" fontId="49" fillId="0" borderId="89" xfId="15" applyFont="1" applyBorder="1"/>
    <xf numFmtId="0" fontId="49" fillId="0" borderId="22" xfId="15" applyFont="1" applyBorder="1"/>
    <xf numFmtId="167" fontId="49" fillId="0" borderId="65" xfId="4" applyNumberFormat="1" applyFont="1" applyFill="1" applyBorder="1" applyAlignment="1" applyProtection="1"/>
    <xf numFmtId="0" fontId="50" fillId="0" borderId="52" xfId="15" applyFont="1" applyBorder="1"/>
    <xf numFmtId="0" fontId="50" fillId="0" borderId="11" xfId="15" applyFont="1" applyBorder="1"/>
    <xf numFmtId="167" fontId="50" fillId="0" borderId="53" xfId="4" applyNumberFormat="1" applyFont="1" applyFill="1" applyBorder="1" applyAlignment="1" applyProtection="1"/>
    <xf numFmtId="0" fontId="51" fillId="0" borderId="55" xfId="15" applyFont="1" applyBorder="1"/>
    <xf numFmtId="0" fontId="51" fillId="0" borderId="19" xfId="15" applyFont="1" applyBorder="1"/>
    <xf numFmtId="167" fontId="51" fillId="0" borderId="56" xfId="4" applyNumberFormat="1" applyFont="1" applyFill="1" applyBorder="1" applyAlignment="1" applyProtection="1"/>
    <xf numFmtId="0" fontId="50" fillId="0" borderId="89" xfId="15" applyFont="1" applyBorder="1"/>
    <xf numFmtId="0" fontId="50" fillId="0" borderId="22" xfId="15" applyFont="1" applyBorder="1"/>
    <xf numFmtId="167" fontId="50" fillId="0" borderId="65" xfId="4" applyNumberFormat="1" applyFont="1" applyFill="1" applyBorder="1" applyAlignment="1" applyProtection="1"/>
    <xf numFmtId="0" fontId="51" fillId="0" borderId="90" xfId="15" applyFont="1" applyBorder="1"/>
    <xf numFmtId="0" fontId="51" fillId="0" borderId="88" xfId="15" applyFont="1" applyBorder="1"/>
    <xf numFmtId="167" fontId="51" fillId="0" borderId="91" xfId="4" applyNumberFormat="1" applyFont="1" applyFill="1" applyBorder="1" applyAlignment="1" applyProtection="1"/>
    <xf numFmtId="0" fontId="51" fillId="0" borderId="92" xfId="15" applyFont="1" applyBorder="1"/>
    <xf numFmtId="0" fontId="51" fillId="0" borderId="93" xfId="15" applyFont="1" applyBorder="1"/>
    <xf numFmtId="167" fontId="51" fillId="0" borderId="94" xfId="4" applyNumberFormat="1" applyFont="1" applyFill="1" applyBorder="1" applyAlignment="1" applyProtection="1"/>
    <xf numFmtId="165" fontId="13" fillId="5" borderId="1" xfId="1" applyNumberFormat="1" applyFont="1" applyFill="1" applyBorder="1" applyAlignment="1">
      <alignment wrapText="1"/>
    </xf>
    <xf numFmtId="0" fontId="13" fillId="5" borderId="2" xfId="0" applyFont="1" applyFill="1" applyBorder="1" applyAlignment="1">
      <alignment wrapText="1"/>
    </xf>
    <xf numFmtId="0" fontId="13" fillId="5" borderId="3" xfId="0" applyFont="1" applyFill="1" applyBorder="1" applyAlignment="1">
      <alignment wrapText="1"/>
    </xf>
    <xf numFmtId="0" fontId="74" fillId="0" borderId="0" xfId="15" applyFont="1" applyBorder="1" applyAlignment="1">
      <alignment horizontal="right"/>
    </xf>
    <xf numFmtId="165" fontId="13" fillId="5" borderId="7" xfId="1" applyNumberFormat="1" applyFont="1" applyFill="1" applyBorder="1"/>
    <xf numFmtId="0" fontId="9" fillId="5" borderId="0" xfId="0" applyFont="1" applyFill="1" applyAlignment="1">
      <alignment wrapText="1"/>
    </xf>
    <xf numFmtId="0" fontId="9" fillId="5" borderId="0" xfId="0" applyFont="1" applyFill="1" applyAlignment="1"/>
    <xf numFmtId="165" fontId="15" fillId="5" borderId="41" xfId="1" applyNumberFormat="1" applyFont="1" applyFill="1" applyBorder="1"/>
    <xf numFmtId="165" fontId="15" fillId="5" borderId="59" xfId="1" applyNumberFormat="1" applyFont="1" applyFill="1" applyBorder="1"/>
    <xf numFmtId="165" fontId="15" fillId="5" borderId="60" xfId="1" applyNumberFormat="1" applyFont="1" applyFill="1" applyBorder="1" applyAlignment="1">
      <alignment horizontal="right"/>
    </xf>
    <xf numFmtId="165" fontId="52" fillId="0" borderId="0" xfId="1" applyNumberFormat="1" applyFont="1"/>
    <xf numFmtId="0" fontId="76" fillId="0" borderId="42" xfId="13" applyFont="1" applyFill="1" applyBorder="1" applyAlignment="1" applyProtection="1">
      <alignment vertical="center" wrapText="1"/>
    </xf>
    <xf numFmtId="0" fontId="76" fillId="0" borderId="45" xfId="13" applyFont="1" applyFill="1" applyBorder="1" applyAlignment="1" applyProtection="1">
      <alignment vertical="center" wrapText="1"/>
    </xf>
    <xf numFmtId="0" fontId="78" fillId="0" borderId="45" xfId="13" applyFont="1" applyFill="1" applyBorder="1" applyAlignment="1" applyProtection="1">
      <alignment horizontal="left" vertical="center" wrapText="1" indent="1"/>
    </xf>
    <xf numFmtId="168" fontId="83" fillId="0" borderId="62" xfId="12" applyNumberFormat="1" applyFont="1" applyFill="1" applyBorder="1" applyAlignment="1" applyProtection="1">
      <alignment horizontal="center" vertical="center"/>
    </xf>
    <xf numFmtId="0" fontId="68" fillId="0" borderId="60" xfId="0" applyFont="1" applyBorder="1" applyAlignment="1">
      <alignment horizontal="right"/>
    </xf>
    <xf numFmtId="0" fontId="68" fillId="0" borderId="11" xfId="0" applyFont="1" applyBorder="1"/>
    <xf numFmtId="0" fontId="68" fillId="0" borderId="51" xfId="0" applyFont="1" applyBorder="1" applyAlignment="1">
      <alignment horizontal="right"/>
    </xf>
    <xf numFmtId="0" fontId="69" fillId="0" borderId="60" xfId="0" applyFont="1" applyBorder="1"/>
    <xf numFmtId="0" fontId="7" fillId="0" borderId="4" xfId="0" applyFont="1" applyBorder="1"/>
    <xf numFmtId="0" fontId="69" fillId="0" borderId="55" xfId="0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71" xfId="0" applyFont="1" applyBorder="1"/>
    <xf numFmtId="3" fontId="7" fillId="0" borderId="68" xfId="0" applyNumberFormat="1" applyFont="1" applyBorder="1"/>
    <xf numFmtId="3" fontId="7" fillId="0" borderId="44" xfId="0" applyNumberFormat="1" applyFont="1" applyBorder="1"/>
    <xf numFmtId="3" fontId="7" fillId="0" borderId="95" xfId="0" applyNumberFormat="1" applyFont="1" applyBorder="1"/>
    <xf numFmtId="0" fontId="7" fillId="0" borderId="6" xfId="0" applyFont="1" applyBorder="1" applyAlignment="1">
      <alignment wrapText="1"/>
    </xf>
    <xf numFmtId="3" fontId="7" fillId="0" borderId="46" xfId="0" applyNumberFormat="1" applyFont="1" applyBorder="1"/>
    <xf numFmtId="0" fontId="7" fillId="0" borderId="6" xfId="0" applyFont="1" applyBorder="1"/>
    <xf numFmtId="3" fontId="7" fillId="0" borderId="46" xfId="0" applyNumberFormat="1" applyFont="1" applyBorder="1" applyAlignment="1">
      <alignment wrapText="1"/>
    </xf>
    <xf numFmtId="0" fontId="7" fillId="0" borderId="46" xfId="0" applyFont="1" applyBorder="1"/>
    <xf numFmtId="0" fontId="68" fillId="0" borderId="41" xfId="0" applyFont="1" applyBorder="1"/>
    <xf numFmtId="3" fontId="68" fillId="0" borderId="1" xfId="0" applyNumberFormat="1" applyFont="1" applyBorder="1"/>
    <xf numFmtId="3" fontId="68" fillId="0" borderId="68" xfId="0" applyNumberFormat="1" applyFont="1" applyBorder="1"/>
    <xf numFmtId="3" fontId="7" fillId="0" borderId="37" xfId="0" applyNumberFormat="1" applyFont="1" applyBorder="1"/>
    <xf numFmtId="3" fontId="7" fillId="0" borderId="18" xfId="0" applyNumberFormat="1" applyFont="1" applyBorder="1"/>
    <xf numFmtId="3" fontId="7" fillId="0" borderId="15" xfId="0" applyNumberFormat="1" applyFont="1" applyBorder="1"/>
    <xf numFmtId="3" fontId="7" fillId="0" borderId="4" xfId="0" applyNumberFormat="1" applyFont="1" applyBorder="1"/>
    <xf numFmtId="3" fontId="69" fillId="0" borderId="55" xfId="0" applyNumberFormat="1" applyFont="1" applyBorder="1"/>
    <xf numFmtId="3" fontId="7" fillId="0" borderId="14" xfId="0" applyNumberFormat="1" applyFont="1" applyBorder="1"/>
    <xf numFmtId="3" fontId="7" fillId="0" borderId="1" xfId="0" applyNumberFormat="1" applyFont="1" applyBorder="1"/>
    <xf numFmtId="3" fontId="7" fillId="0" borderId="46" xfId="0" applyNumberFormat="1" applyFont="1" applyFill="1" applyBorder="1"/>
    <xf numFmtId="3" fontId="7" fillId="0" borderId="2" xfId="0" applyNumberFormat="1" applyFont="1" applyFill="1" applyBorder="1" applyAlignment="1"/>
    <xf numFmtId="3" fontId="68" fillId="0" borderId="41" xfId="0" applyNumberFormat="1" applyFont="1" applyBorder="1"/>
    <xf numFmtId="165" fontId="12" fillId="0" borderId="0" xfId="2" applyNumberFormat="1" applyFont="1"/>
    <xf numFmtId="0" fontId="0" fillId="0" borderId="0" xfId="0" applyFill="1" applyAlignment="1"/>
    <xf numFmtId="165" fontId="46" fillId="0" borderId="33" xfId="2" applyNumberFormat="1" applyFont="1" applyBorder="1" applyAlignment="1">
      <alignment horizontal="center"/>
    </xf>
    <xf numFmtId="165" fontId="0" fillId="0" borderId="31" xfId="2" applyNumberFormat="1" applyFont="1" applyBorder="1"/>
    <xf numFmtId="165" fontId="0" fillId="0" borderId="32" xfId="2" applyNumberFormat="1" applyFont="1" applyBorder="1"/>
    <xf numFmtId="165" fontId="0" fillId="0" borderId="8" xfId="2" applyNumberFormat="1" applyFont="1" applyBorder="1"/>
    <xf numFmtId="165" fontId="0" fillId="0" borderId="16" xfId="2" applyNumberFormat="1" applyFont="1" applyBorder="1"/>
    <xf numFmtId="165" fontId="15" fillId="0" borderId="8" xfId="2" applyNumberFormat="1" applyFont="1" applyBorder="1" applyAlignment="1">
      <alignment horizontal="center" vertical="center" wrapText="1"/>
    </xf>
    <xf numFmtId="165" fontId="6" fillId="0" borderId="17" xfId="2" applyNumberFormat="1" applyFont="1" applyBorder="1"/>
    <xf numFmtId="165" fontId="6" fillId="0" borderId="30" xfId="2" applyNumberFormat="1" applyFont="1" applyBorder="1"/>
    <xf numFmtId="165" fontId="0" fillId="0" borderId="22" xfId="2" applyNumberFormat="1" applyFont="1" applyBorder="1"/>
    <xf numFmtId="165" fontId="6" fillId="0" borderId="11" xfId="2" applyNumberFormat="1" applyFont="1" applyBorder="1"/>
    <xf numFmtId="165" fontId="6" fillId="0" borderId="53" xfId="2" applyNumberFormat="1" applyFont="1" applyBorder="1"/>
    <xf numFmtId="165" fontId="6" fillId="0" borderId="31" xfId="2" applyNumberFormat="1" applyFont="1" applyBorder="1"/>
    <xf numFmtId="165" fontId="0" fillId="0" borderId="0" xfId="2" applyNumberFormat="1" applyFont="1"/>
    <xf numFmtId="165" fontId="46" fillId="0" borderId="33" xfId="2" applyNumberFormat="1" applyFont="1" applyBorder="1"/>
    <xf numFmtId="0" fontId="47" fillId="0" borderId="71" xfId="0" applyFont="1" applyBorder="1" applyAlignment="1">
      <alignment horizontal="left" vertical="center" wrapText="1"/>
    </xf>
    <xf numFmtId="165" fontId="0" fillId="0" borderId="42" xfId="0" applyNumberFormat="1" applyFont="1" applyBorder="1"/>
    <xf numFmtId="165" fontId="12" fillId="0" borderId="31" xfId="2" applyNumberFormat="1" applyFont="1" applyBorder="1"/>
    <xf numFmtId="0" fontId="47" fillId="0" borderId="6" xfId="0" applyFont="1" applyBorder="1" applyAlignment="1">
      <alignment horizontal="left" vertical="center" wrapText="1"/>
    </xf>
    <xf numFmtId="165" fontId="0" fillId="0" borderId="45" xfId="0" applyNumberFormat="1" applyFont="1" applyBorder="1"/>
    <xf numFmtId="165" fontId="12" fillId="0" borderId="8" xfId="2" applyNumberFormat="1" applyFont="1" applyBorder="1"/>
    <xf numFmtId="1" fontId="0" fillId="0" borderId="16" xfId="0" applyNumberFormat="1" applyFont="1" applyBorder="1" applyAlignment="1">
      <alignment horizontal="center"/>
    </xf>
    <xf numFmtId="165" fontId="6" fillId="0" borderId="48" xfId="0" applyNumberFormat="1" applyFont="1" applyBorder="1"/>
    <xf numFmtId="0" fontId="48" fillId="0" borderId="28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 wrapText="1"/>
    </xf>
    <xf numFmtId="1" fontId="6" fillId="0" borderId="56" xfId="0" applyNumberFormat="1" applyFont="1" applyBorder="1" applyAlignment="1">
      <alignment horizontal="center"/>
    </xf>
    <xf numFmtId="1" fontId="0" fillId="0" borderId="32" xfId="0" applyNumberFormat="1" applyFont="1" applyBorder="1" applyAlignment="1">
      <alignment horizontal="center"/>
    </xf>
    <xf numFmtId="165" fontId="6" fillId="0" borderId="55" xfId="2" applyNumberFormat="1" applyFont="1" applyBorder="1"/>
    <xf numFmtId="0" fontId="47" fillId="0" borderId="23" xfId="0" applyFont="1" applyBorder="1" applyAlignment="1">
      <alignment horizontal="left" vertical="center" wrapText="1"/>
    </xf>
    <xf numFmtId="1" fontId="6" fillId="0" borderId="54" xfId="0" applyNumberFormat="1" applyFont="1" applyBorder="1" applyAlignment="1">
      <alignment horizontal="center"/>
    </xf>
    <xf numFmtId="0" fontId="48" fillId="0" borderId="35" xfId="0" applyFont="1" applyBorder="1" applyAlignment="1">
      <alignment horizontal="left" vertical="center"/>
    </xf>
    <xf numFmtId="165" fontId="6" fillId="0" borderId="90" xfId="2" applyNumberFormat="1" applyFont="1" applyBorder="1"/>
    <xf numFmtId="1" fontId="6" fillId="0" borderId="91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9" fillId="0" borderId="0" xfId="0" applyFont="1" applyFill="1" applyAlignment="1">
      <alignment vertical="center" wrapText="1"/>
    </xf>
    <xf numFmtId="165" fontId="9" fillId="0" borderId="0" xfId="2" applyNumberFormat="1" applyFont="1" applyAlignment="1">
      <alignment vertical="center" wrapText="1"/>
    </xf>
    <xf numFmtId="0" fontId="0" fillId="0" borderId="0" xfId="0" applyFill="1" applyAlignment="1">
      <alignment wrapText="1"/>
    </xf>
    <xf numFmtId="0" fontId="48" fillId="0" borderId="58" xfId="0" applyFont="1" applyBorder="1" applyAlignment="1">
      <alignment horizontal="left" vertical="center"/>
    </xf>
    <xf numFmtId="165" fontId="9" fillId="0" borderId="0" xfId="2" applyNumberFormat="1" applyFont="1" applyFill="1" applyAlignment="1">
      <alignment vertical="center" wrapText="1"/>
    </xf>
    <xf numFmtId="165" fontId="0" fillId="0" borderId="0" xfId="2" applyNumberFormat="1" applyFont="1" applyFill="1"/>
    <xf numFmtId="165" fontId="12" fillId="0" borderId="0" xfId="2" applyNumberFormat="1" applyFont="1" applyFill="1"/>
    <xf numFmtId="0" fontId="46" fillId="0" borderId="15" xfId="0" applyFont="1" applyFill="1" applyBorder="1"/>
    <xf numFmtId="0" fontId="46" fillId="0" borderId="39" xfId="0" applyFont="1" applyFill="1" applyBorder="1"/>
    <xf numFmtId="165" fontId="46" fillId="0" borderId="33" xfId="2" applyNumberFormat="1" applyFont="1" applyFill="1" applyBorder="1"/>
    <xf numFmtId="165" fontId="46" fillId="0" borderId="67" xfId="2" applyNumberFormat="1" applyFont="1" applyFill="1" applyBorder="1"/>
    <xf numFmtId="0" fontId="47" fillId="0" borderId="68" xfId="0" applyFont="1" applyFill="1" applyBorder="1" applyAlignment="1">
      <alignment horizontal="left" vertical="center" wrapText="1"/>
    </xf>
    <xf numFmtId="165" fontId="0" fillId="0" borderId="43" xfId="0" applyNumberFormat="1" applyFill="1" applyBorder="1"/>
    <xf numFmtId="165" fontId="0" fillId="0" borderId="31" xfId="2" applyNumberFormat="1" applyFont="1" applyFill="1" applyBorder="1"/>
    <xf numFmtId="165" fontId="12" fillId="0" borderId="31" xfId="2" applyNumberFormat="1" applyFont="1" applyFill="1" applyBorder="1"/>
    <xf numFmtId="165" fontId="0" fillId="0" borderId="32" xfId="2" applyNumberFormat="1" applyFont="1" applyFill="1" applyBorder="1"/>
    <xf numFmtId="0" fontId="47" fillId="0" borderId="2" xfId="0" applyFont="1" applyFill="1" applyBorder="1" applyAlignment="1">
      <alignment horizontal="left" vertical="center" wrapText="1"/>
    </xf>
    <xf numFmtId="165" fontId="0" fillId="0" borderId="9" xfId="0" applyNumberFormat="1" applyFill="1" applyBorder="1"/>
    <xf numFmtId="165" fontId="0" fillId="0" borderId="8" xfId="2" applyNumberFormat="1" applyFont="1" applyFill="1" applyBorder="1"/>
    <xf numFmtId="165" fontId="12" fillId="0" borderId="8" xfId="2" applyNumberFormat="1" applyFont="1" applyFill="1" applyBorder="1"/>
    <xf numFmtId="165" fontId="0" fillId="0" borderId="16" xfId="2" applyNumberFormat="1" applyFont="1" applyFill="1" applyBorder="1"/>
    <xf numFmtId="165" fontId="15" fillId="0" borderId="9" xfId="0" applyNumberFormat="1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left" vertical="center"/>
    </xf>
    <xf numFmtId="165" fontId="6" fillId="0" borderId="49" xfId="0" applyNumberFormat="1" applyFont="1" applyFill="1" applyBorder="1"/>
    <xf numFmtId="165" fontId="6" fillId="0" borderId="17" xfId="2" applyNumberFormat="1" applyFont="1" applyFill="1" applyBorder="1"/>
    <xf numFmtId="165" fontId="6" fillId="0" borderId="30" xfId="2" applyNumberFormat="1" applyFont="1" applyFill="1" applyBorder="1"/>
    <xf numFmtId="165" fontId="0" fillId="0" borderId="8" xfId="2" applyNumberFormat="1" applyFont="1" applyFill="1" applyBorder="1" applyAlignment="1">
      <alignment horizontal="center"/>
    </xf>
    <xf numFmtId="165" fontId="12" fillId="0" borderId="8" xfId="2" applyNumberFormat="1" applyFont="1" applyFill="1" applyBorder="1" applyAlignment="1">
      <alignment horizontal="center"/>
    </xf>
    <xf numFmtId="165" fontId="0" fillId="0" borderId="16" xfId="2" applyNumberFormat="1" applyFont="1" applyFill="1" applyBorder="1" applyAlignment="1">
      <alignment horizontal="center"/>
    </xf>
    <xf numFmtId="0" fontId="47" fillId="0" borderId="12" xfId="0" applyFont="1" applyFill="1" applyBorder="1" applyAlignment="1">
      <alignment horizontal="left" vertical="center" wrapText="1"/>
    </xf>
    <xf numFmtId="165" fontId="6" fillId="0" borderId="10" xfId="0" applyNumberFormat="1" applyFont="1" applyFill="1" applyBorder="1"/>
    <xf numFmtId="165" fontId="6" fillId="0" borderId="11" xfId="2" applyNumberFormat="1" applyFont="1" applyFill="1" applyBorder="1"/>
    <xf numFmtId="165" fontId="6" fillId="0" borderId="53" xfId="2" applyNumberFormat="1" applyFont="1" applyFill="1" applyBorder="1"/>
    <xf numFmtId="0" fontId="47" fillId="0" borderId="6" xfId="0" applyFont="1" applyFill="1" applyBorder="1" applyAlignment="1">
      <alignment horizontal="left" vertical="center" wrapText="1"/>
    </xf>
    <xf numFmtId="165" fontId="6" fillId="0" borderId="32" xfId="2" applyNumberFormat="1" applyFont="1" applyFill="1" applyBorder="1"/>
    <xf numFmtId="165" fontId="6" fillId="0" borderId="16" xfId="2" applyNumberFormat="1" applyFont="1" applyFill="1" applyBorder="1"/>
    <xf numFmtId="0" fontId="48" fillId="0" borderId="28" xfId="0" applyFont="1" applyFill="1" applyBorder="1" applyAlignment="1">
      <alignment horizontal="left" vertical="center"/>
    </xf>
    <xf numFmtId="165" fontId="6" fillId="0" borderId="52" xfId="0" applyNumberFormat="1" applyFont="1" applyFill="1" applyBorder="1"/>
    <xf numFmtId="165" fontId="13" fillId="0" borderId="9" xfId="0" applyNumberFormat="1" applyFont="1" applyFill="1" applyBorder="1" applyAlignment="1">
      <alignment horizontal="center" vertical="center" wrapText="1"/>
    </xf>
    <xf numFmtId="165" fontId="0" fillId="0" borderId="21" xfId="0" applyNumberFormat="1" applyFill="1" applyBorder="1"/>
    <xf numFmtId="165" fontId="0" fillId="0" borderId="22" xfId="2" applyNumberFormat="1" applyFont="1" applyFill="1" applyBorder="1"/>
    <xf numFmtId="165" fontId="12" fillId="0" borderId="22" xfId="2" applyNumberFormat="1" applyFont="1" applyFill="1" applyBorder="1"/>
    <xf numFmtId="165" fontId="0" fillId="0" borderId="65" xfId="2" applyNumberFormat="1" applyFont="1" applyFill="1" applyBorder="1"/>
    <xf numFmtId="0" fontId="48" fillId="0" borderId="3" xfId="0" applyFont="1" applyFill="1" applyBorder="1" applyAlignment="1">
      <alignment horizontal="left" vertical="center"/>
    </xf>
    <xf numFmtId="0" fontId="47" fillId="0" borderId="71" xfId="0" applyFont="1" applyFill="1" applyBorder="1" applyAlignment="1">
      <alignment horizontal="left" vertical="center" wrapText="1"/>
    </xf>
    <xf numFmtId="0" fontId="33" fillId="0" borderId="28" xfId="0" applyFont="1" applyFill="1" applyBorder="1" applyAlignment="1">
      <alignment horizontal="left" vertical="center"/>
    </xf>
    <xf numFmtId="0" fontId="47" fillId="0" borderId="5" xfId="0" applyFont="1" applyFill="1" applyBorder="1" applyAlignment="1">
      <alignment horizontal="left" vertical="center" wrapText="1"/>
    </xf>
    <xf numFmtId="0" fontId="46" fillId="0" borderId="68" xfId="0" applyFont="1" applyFill="1" applyBorder="1"/>
    <xf numFmtId="0" fontId="46" fillId="0" borderId="43" xfId="0" applyFont="1" applyFill="1" applyBorder="1"/>
    <xf numFmtId="165" fontId="46" fillId="0" borderId="31" xfId="2" applyNumberFormat="1" applyFont="1" applyFill="1" applyBorder="1"/>
    <xf numFmtId="165" fontId="46" fillId="0" borderId="32" xfId="2" applyNumberFormat="1" applyFont="1" applyFill="1" applyBorder="1"/>
    <xf numFmtId="165" fontId="0" fillId="0" borderId="42" xfId="0" applyNumberFormat="1" applyFont="1" applyFill="1" applyBorder="1"/>
    <xf numFmtId="165" fontId="12" fillId="0" borderId="32" xfId="2" applyNumberFormat="1" applyFont="1" applyFill="1" applyBorder="1"/>
    <xf numFmtId="165" fontId="0" fillId="0" borderId="45" xfId="0" applyNumberFormat="1" applyFont="1" applyFill="1" applyBorder="1"/>
    <xf numFmtId="165" fontId="12" fillId="0" borderId="16" xfId="2" applyNumberFormat="1" applyFont="1" applyFill="1" applyBorder="1"/>
    <xf numFmtId="0" fontId="12" fillId="2" borderId="13" xfId="0" applyFont="1" applyFill="1" applyBorder="1" applyAlignment="1"/>
    <xf numFmtId="165" fontId="26" fillId="0" borderId="0" xfId="2" applyNumberFormat="1" applyFont="1"/>
    <xf numFmtId="165" fontId="38" fillId="0" borderId="0" xfId="2" applyNumberFormat="1" applyFont="1"/>
    <xf numFmtId="165" fontId="39" fillId="0" borderId="0" xfId="2" applyNumberFormat="1" applyFont="1"/>
    <xf numFmtId="165" fontId="33" fillId="0" borderId="0" xfId="2" applyNumberFormat="1" applyFont="1"/>
    <xf numFmtId="3" fontId="41" fillId="2" borderId="5" xfId="0" applyNumberFormat="1" applyFont="1" applyFill="1" applyBorder="1" applyAlignment="1">
      <alignment wrapText="1"/>
    </xf>
    <xf numFmtId="3" fontId="42" fillId="2" borderId="42" xfId="0" applyNumberFormat="1" applyFont="1" applyFill="1" applyBorder="1"/>
    <xf numFmtId="3" fontId="42" fillId="2" borderId="31" xfId="0" applyNumberFormat="1" applyFont="1" applyFill="1" applyBorder="1"/>
    <xf numFmtId="3" fontId="42" fillId="2" borderId="57" xfId="0" applyNumberFormat="1" applyFont="1" applyFill="1" applyBorder="1"/>
    <xf numFmtId="3" fontId="40" fillId="0" borderId="71" xfId="0" applyNumberFormat="1" applyFont="1" applyFill="1" applyBorder="1"/>
    <xf numFmtId="3" fontId="40" fillId="0" borderId="68" xfId="0" applyNumberFormat="1" applyFont="1" applyFill="1" applyBorder="1"/>
    <xf numFmtId="165" fontId="29" fillId="0" borderId="0" xfId="2" applyNumberFormat="1" applyFont="1"/>
    <xf numFmtId="3" fontId="40" fillId="2" borderId="6" xfId="0" applyNumberFormat="1" applyFont="1" applyFill="1" applyBorder="1" applyAlignment="1">
      <alignment wrapText="1"/>
    </xf>
    <xf numFmtId="3" fontId="43" fillId="2" borderId="45" xfId="0" applyNumberFormat="1" applyFont="1" applyFill="1" applyBorder="1"/>
    <xf numFmtId="3" fontId="43" fillId="2" borderId="16" xfId="0" applyNumberFormat="1" applyFont="1" applyFill="1" applyBorder="1"/>
    <xf numFmtId="3" fontId="24" fillId="0" borderId="6" xfId="0" applyNumberFormat="1" applyFont="1" applyFill="1" applyBorder="1"/>
    <xf numFmtId="3" fontId="41" fillId="2" borderId="45" xfId="0" applyNumberFormat="1" applyFont="1" applyFill="1" applyBorder="1"/>
    <xf numFmtId="3" fontId="41" fillId="2" borderId="6" xfId="0" applyNumberFormat="1" applyFont="1" applyFill="1" applyBorder="1" applyAlignment="1">
      <alignment wrapText="1"/>
    </xf>
    <xf numFmtId="3" fontId="42" fillId="2" borderId="45" xfId="0" applyNumberFormat="1" applyFont="1" applyFill="1" applyBorder="1"/>
    <xf numFmtId="3" fontId="43" fillId="2" borderId="45" xfId="0" applyNumberFormat="1" applyFont="1" applyFill="1" applyBorder="1" applyAlignment="1">
      <alignment horizontal="right"/>
    </xf>
    <xf numFmtId="3" fontId="40" fillId="0" borderId="6" xfId="0" applyNumberFormat="1" applyFont="1" applyFill="1" applyBorder="1"/>
    <xf numFmtId="3" fontId="41" fillId="2" borderId="45" xfId="0" applyNumberFormat="1" applyFont="1" applyFill="1" applyBorder="1" applyAlignment="1">
      <alignment horizontal="right"/>
    </xf>
    <xf numFmtId="165" fontId="12" fillId="0" borderId="0" xfId="2" applyNumberFormat="1" applyFont="1" applyAlignment="1">
      <alignment horizontal="right"/>
    </xf>
    <xf numFmtId="3" fontId="40" fillId="2" borderId="7" xfId="0" applyNumberFormat="1" applyFont="1" applyFill="1" applyBorder="1" applyAlignment="1">
      <alignment wrapText="1"/>
    </xf>
    <xf numFmtId="3" fontId="43" fillId="2" borderId="52" xfId="0" applyNumberFormat="1" applyFont="1" applyFill="1" applyBorder="1"/>
    <xf numFmtId="3" fontId="43" fillId="2" borderId="53" xfId="0" applyNumberFormat="1" applyFont="1" applyFill="1" applyBorder="1"/>
    <xf numFmtId="3" fontId="41" fillId="5" borderId="45" xfId="0" applyNumberFormat="1" applyFont="1" applyFill="1" applyBorder="1"/>
    <xf numFmtId="3" fontId="40" fillId="2" borderId="25" xfId="0" applyNumberFormat="1" applyFont="1" applyFill="1" applyBorder="1" applyAlignment="1">
      <alignment wrapText="1"/>
    </xf>
    <xf numFmtId="3" fontId="43" fillId="2" borderId="48" xfId="0" applyNumberFormat="1" applyFont="1" applyFill="1" applyBorder="1"/>
    <xf numFmtId="3" fontId="43" fillId="2" borderId="17" xfId="0" applyNumberFormat="1" applyFont="1" applyFill="1" applyBorder="1"/>
    <xf numFmtId="3" fontId="43" fillId="2" borderId="58" xfId="0" applyNumberFormat="1" applyFont="1" applyFill="1" applyBorder="1"/>
    <xf numFmtId="3" fontId="24" fillId="0" borderId="28" xfId="0" applyNumberFormat="1" applyFont="1" applyFill="1" applyBorder="1"/>
    <xf numFmtId="3" fontId="41" fillId="5" borderId="48" xfId="0" applyNumberFormat="1" applyFont="1" applyFill="1" applyBorder="1"/>
    <xf numFmtId="3" fontId="41" fillId="2" borderId="17" xfId="0" applyNumberFormat="1" applyFont="1" applyFill="1" applyBorder="1"/>
    <xf numFmtId="3" fontId="41" fillId="2" borderId="58" xfId="0" applyNumberFormat="1" applyFont="1" applyFill="1" applyBorder="1"/>
    <xf numFmtId="3" fontId="24" fillId="0" borderId="29" xfId="0" applyNumberFormat="1" applyFont="1" applyFill="1" applyBorder="1"/>
    <xf numFmtId="3" fontId="40" fillId="2" borderId="34" xfId="0" applyNumberFormat="1" applyFont="1" applyFill="1" applyBorder="1" applyAlignment="1">
      <alignment wrapText="1"/>
    </xf>
    <xf numFmtId="3" fontId="43" fillId="2" borderId="90" xfId="0" applyNumberFormat="1" applyFont="1" applyFill="1" applyBorder="1"/>
    <xf numFmtId="3" fontId="43" fillId="2" borderId="88" xfId="0" applyNumberFormat="1" applyFont="1" applyFill="1" applyBorder="1"/>
    <xf numFmtId="3" fontId="43" fillId="2" borderId="64" xfId="0" applyNumberFormat="1" applyFont="1" applyFill="1" applyBorder="1"/>
    <xf numFmtId="3" fontId="43" fillId="2" borderId="96" xfId="0" applyNumberFormat="1" applyFont="1" applyFill="1" applyBorder="1"/>
    <xf numFmtId="3" fontId="43" fillId="2" borderId="97" xfId="0" applyNumberFormat="1" applyFont="1" applyFill="1" applyBorder="1"/>
    <xf numFmtId="3" fontId="40" fillId="0" borderId="35" xfId="0" applyNumberFormat="1" applyFont="1" applyFill="1" applyBorder="1"/>
    <xf numFmtId="3" fontId="41" fillId="2" borderId="96" xfId="0" applyNumberFormat="1" applyFont="1" applyFill="1" applyBorder="1"/>
    <xf numFmtId="3" fontId="41" fillId="2" borderId="91" xfId="0" applyNumberFormat="1" applyFont="1" applyFill="1" applyBorder="1"/>
    <xf numFmtId="3" fontId="41" fillId="2" borderId="13" xfId="0" applyNumberFormat="1" applyFont="1" applyFill="1" applyBorder="1"/>
    <xf numFmtId="165" fontId="28" fillId="0" borderId="0" xfId="2" applyNumberFormat="1" applyFont="1"/>
    <xf numFmtId="3" fontId="14" fillId="0" borderId="8" xfId="0" applyNumberFormat="1" applyFont="1" applyFill="1" applyBorder="1" applyAlignment="1">
      <alignment horizontal="center"/>
    </xf>
    <xf numFmtId="168" fontId="82" fillId="0" borderId="62" xfId="12" applyNumberFormat="1" applyFont="1" applyFill="1" applyBorder="1" applyAlignment="1" applyProtection="1">
      <alignment horizontal="center" vertical="center"/>
    </xf>
    <xf numFmtId="0" fontId="79" fillId="0" borderId="45" xfId="13" applyFont="1" applyFill="1" applyBorder="1" applyAlignment="1" applyProtection="1">
      <alignment horizontal="left" vertical="center" wrapText="1" indent="1"/>
    </xf>
    <xf numFmtId="0" fontId="78" fillId="0" borderId="89" xfId="13" applyFont="1" applyFill="1" applyBorder="1" applyProtection="1">
      <protection locked="0"/>
    </xf>
    <xf numFmtId="0" fontId="78" fillId="0" borderId="22" xfId="13" applyFont="1" applyFill="1" applyBorder="1" applyAlignment="1">
      <alignment horizontal="right" indent="1"/>
    </xf>
    <xf numFmtId="3" fontId="78" fillId="0" borderId="22" xfId="13" applyNumberFormat="1" applyFont="1" applyFill="1" applyBorder="1" applyAlignment="1" applyProtection="1">
      <alignment horizontal="center"/>
      <protection locked="0"/>
    </xf>
    <xf numFmtId="0" fontId="79" fillId="0" borderId="45" xfId="13" applyFont="1" applyFill="1" applyBorder="1" applyProtection="1">
      <protection locked="0"/>
    </xf>
    <xf numFmtId="0" fontId="76" fillId="0" borderId="8" xfId="13" applyFont="1" applyFill="1" applyBorder="1" applyAlignment="1">
      <alignment horizontal="right" indent="1"/>
    </xf>
    <xf numFmtId="3" fontId="76" fillId="0" borderId="22" xfId="13" applyNumberFormat="1" applyFont="1" applyFill="1" applyBorder="1" applyAlignment="1" applyProtection="1">
      <alignment horizontal="center"/>
      <protection locked="0"/>
    </xf>
    <xf numFmtId="0" fontId="79" fillId="0" borderId="52" xfId="13" applyFont="1" applyFill="1" applyBorder="1" applyProtection="1">
      <protection locked="0"/>
    </xf>
    <xf numFmtId="0" fontId="76" fillId="0" borderId="11" xfId="13" applyFont="1" applyFill="1" applyBorder="1" applyAlignment="1">
      <alignment horizontal="right" indent="1"/>
    </xf>
    <xf numFmtId="3" fontId="76" fillId="0" borderId="56" xfId="13" applyNumberFormat="1" applyFont="1" applyFill="1" applyBorder="1" applyAlignment="1">
      <alignment horizontal="center"/>
    </xf>
    <xf numFmtId="3" fontId="76" fillId="0" borderId="19" xfId="13" applyNumberFormat="1" applyFont="1" applyFill="1" applyBorder="1" applyAlignment="1" applyProtection="1">
      <alignment horizontal="center"/>
      <protection locked="0"/>
    </xf>
    <xf numFmtId="0" fontId="76" fillId="0" borderId="19" xfId="13" applyFont="1" applyFill="1" applyBorder="1" applyAlignment="1">
      <alignment horizontal="right" indent="1"/>
    </xf>
    <xf numFmtId="165" fontId="14" fillId="0" borderId="8" xfId="2" applyNumberFormat="1" applyFont="1" applyFill="1" applyBorder="1"/>
    <xf numFmtId="0" fontId="12" fillId="0" borderId="0" xfId="0" applyFont="1"/>
    <xf numFmtId="165" fontId="14" fillId="0" borderId="11" xfId="2" applyNumberFormat="1" applyFont="1" applyFill="1" applyBorder="1"/>
    <xf numFmtId="0" fontId="14" fillId="0" borderId="8" xfId="2" applyNumberFormat="1" applyFont="1" applyFill="1" applyBorder="1" applyAlignment="1">
      <alignment horizontal="center"/>
    </xf>
    <xf numFmtId="165" fontId="14" fillId="0" borderId="8" xfId="2" applyNumberFormat="1" applyFont="1" applyFill="1" applyBorder="1" applyAlignment="1"/>
    <xf numFmtId="165" fontId="14" fillId="0" borderId="11" xfId="2" applyNumberFormat="1" applyFont="1" applyFill="1" applyBorder="1" applyAlignment="1"/>
    <xf numFmtId="165" fontId="14" fillId="0" borderId="8" xfId="2" applyNumberFormat="1" applyFont="1" applyFill="1" applyBorder="1" applyAlignment="1">
      <alignment horizontal="center"/>
    </xf>
    <xf numFmtId="165" fontId="14" fillId="0" borderId="11" xfId="2" applyNumberFormat="1" applyFont="1" applyFill="1" applyBorder="1" applyAlignment="1">
      <alignment horizontal="center"/>
    </xf>
    <xf numFmtId="165" fontId="8" fillId="0" borderId="19" xfId="2" applyNumberFormat="1" applyFont="1" applyFill="1" applyBorder="1"/>
    <xf numFmtId="167" fontId="49" fillId="5" borderId="81" xfId="4" applyNumberFormat="1" applyFont="1" applyFill="1" applyBorder="1" applyAlignment="1" applyProtection="1"/>
    <xf numFmtId="0" fontId="15" fillId="5" borderId="1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165" fontId="28" fillId="5" borderId="0" xfId="1" applyNumberFormat="1" applyFont="1" applyFill="1" applyAlignment="1">
      <alignment horizontal="center"/>
    </xf>
    <xf numFmtId="0" fontId="97" fillId="0" borderId="60" xfId="11" applyFont="1" applyFill="1" applyBorder="1" applyAlignment="1" applyProtection="1">
      <alignment horizontal="left" vertical="center" wrapText="1" indent="1"/>
    </xf>
    <xf numFmtId="0" fontId="35" fillId="0" borderId="0" xfId="0" applyFont="1"/>
    <xf numFmtId="0" fontId="42" fillId="0" borderId="71" xfId="11" applyFont="1" applyFill="1" applyBorder="1" applyAlignment="1" applyProtection="1">
      <alignment horizontal="left" vertical="center" wrapText="1" indent="1"/>
    </xf>
    <xf numFmtId="0" fontId="43" fillId="0" borderId="5" xfId="11" applyFont="1" applyFill="1" applyBorder="1" applyAlignment="1" applyProtection="1">
      <alignment horizontal="left" vertical="center" wrapText="1" indent="1"/>
    </xf>
    <xf numFmtId="0" fontId="43" fillId="0" borderId="6" xfId="11" applyFont="1" applyFill="1" applyBorder="1" applyAlignment="1" applyProtection="1">
      <alignment horizontal="left" vertical="center" wrapText="1" indent="1"/>
    </xf>
    <xf numFmtId="0" fontId="42" fillId="0" borderId="6" xfId="11" applyFont="1" applyFill="1" applyBorder="1" applyAlignment="1" applyProtection="1">
      <alignment horizontal="left" vertical="center" wrapText="1" indent="1"/>
    </xf>
    <xf numFmtId="0" fontId="24" fillId="0" borderId="6" xfId="11" applyFont="1" applyFill="1" applyBorder="1" applyAlignment="1" applyProtection="1">
      <alignment horizontal="left" vertical="center" wrapText="1" indent="1"/>
    </xf>
    <xf numFmtId="0" fontId="43" fillId="0" borderId="6" xfId="11" applyFont="1" applyFill="1" applyBorder="1" applyAlignment="1" applyProtection="1">
      <alignment horizontal="left" vertical="center" wrapText="1" indent="2"/>
    </xf>
    <xf numFmtId="0" fontId="97" fillId="0" borderId="41" xfId="11" applyFont="1" applyFill="1" applyBorder="1" applyAlignment="1" applyProtection="1">
      <alignment horizontal="left" vertical="center" wrapText="1" indent="1"/>
    </xf>
    <xf numFmtId="0" fontId="98" fillId="0" borderId="41" xfId="11" applyFont="1" applyFill="1" applyBorder="1" applyAlignment="1" applyProtection="1">
      <alignment horizontal="left" vertical="center" wrapText="1" indent="1"/>
    </xf>
    <xf numFmtId="0" fontId="34" fillId="0" borderId="60" xfId="11" applyFont="1" applyFill="1" applyBorder="1" applyAlignment="1" applyProtection="1">
      <alignment horizontal="left" vertical="center" wrapText="1" indent="1"/>
    </xf>
    <xf numFmtId="0" fontId="42" fillId="0" borderId="5" xfId="11" applyFont="1" applyFill="1" applyBorder="1" applyAlignment="1" applyProtection="1">
      <alignment horizontal="left" vertical="center" wrapText="1" indent="2"/>
    </xf>
    <xf numFmtId="0" fontId="42" fillId="0" borderId="6" xfId="11" applyFont="1" applyFill="1" applyBorder="1" applyAlignment="1" applyProtection="1">
      <alignment horizontal="left" vertical="center" wrapText="1" indent="2"/>
    </xf>
    <xf numFmtId="0" fontId="99" fillId="0" borderId="0" xfId="0" applyFont="1"/>
    <xf numFmtId="0" fontId="97" fillId="0" borderId="71" xfId="11" applyFont="1" applyFill="1" applyBorder="1" applyAlignment="1" applyProtection="1">
      <alignment horizontal="left" vertical="center" wrapText="1" indent="1"/>
    </xf>
    <xf numFmtId="0" fontId="97" fillId="0" borderId="6" xfId="11" applyFont="1" applyFill="1" applyBorder="1" applyAlignment="1" applyProtection="1">
      <alignment horizontal="left" vertical="center" wrapText="1" indent="1"/>
    </xf>
    <xf numFmtId="0" fontId="97" fillId="0" borderId="70" xfId="11" applyFont="1" applyFill="1" applyBorder="1" applyAlignment="1" applyProtection="1">
      <alignment horizontal="left" vertical="center" wrapText="1" indent="1"/>
    </xf>
    <xf numFmtId="0" fontId="43" fillId="0" borderId="41" xfId="11" applyFont="1" applyFill="1" applyBorder="1" applyAlignment="1" applyProtection="1">
      <alignment horizontal="left" vertical="center" wrapText="1" indent="1"/>
    </xf>
    <xf numFmtId="0" fontId="97" fillId="0" borderId="41" xfId="11" applyFont="1" applyFill="1" applyBorder="1" applyAlignment="1" applyProtection="1">
      <alignment horizontal="center" vertical="center" wrapText="1"/>
    </xf>
    <xf numFmtId="0" fontId="43" fillId="0" borderId="41" xfId="11" applyFont="1" applyFill="1" applyBorder="1" applyAlignment="1" applyProtection="1">
      <alignment horizontal="left" vertical="center" wrapText="1"/>
    </xf>
    <xf numFmtId="49" fontId="24" fillId="0" borderId="1" xfId="11" applyNumberFormat="1" applyFont="1" applyFill="1" applyBorder="1" applyAlignment="1" applyProtection="1">
      <alignment horizontal="center" vertical="center"/>
    </xf>
    <xf numFmtId="3" fontId="43" fillId="0" borderId="1" xfId="11" applyNumberFormat="1" applyFont="1" applyFill="1" applyBorder="1" applyAlignment="1" applyProtection="1">
      <alignment horizontal="center" vertical="center"/>
    </xf>
    <xf numFmtId="49" fontId="43" fillId="0" borderId="0" xfId="11" applyNumberFormat="1" applyFont="1" applyFill="1" applyBorder="1" applyAlignment="1" applyProtection="1">
      <alignment horizontal="left" vertical="center"/>
    </xf>
    <xf numFmtId="0" fontId="43" fillId="0" borderId="0" xfId="11" applyFont="1" applyFill="1" applyBorder="1" applyAlignment="1" applyProtection="1">
      <alignment horizontal="left" vertical="center"/>
    </xf>
    <xf numFmtId="165" fontId="43" fillId="5" borderId="0" xfId="1" applyNumberFormat="1" applyFont="1" applyFill="1" applyBorder="1" applyAlignment="1" applyProtection="1">
      <alignment horizontal="left" vertical="center"/>
    </xf>
    <xf numFmtId="0" fontId="43" fillId="0" borderId="0" xfId="11" applyFont="1" applyFill="1" applyBorder="1" applyAlignment="1" applyProtection="1">
      <alignment vertical="center"/>
    </xf>
    <xf numFmtId="0" fontId="28" fillId="0" borderId="0" xfId="0" applyFont="1" applyFill="1"/>
    <xf numFmtId="0" fontId="97" fillId="0" borderId="15" xfId="11" applyFont="1" applyFill="1" applyBorder="1" applyAlignment="1" applyProtection="1">
      <alignment horizontal="left" vertical="center" wrapText="1" indent="1"/>
    </xf>
    <xf numFmtId="0" fontId="97" fillId="0" borderId="4" xfId="11" applyFont="1" applyFill="1" applyBorder="1" applyAlignment="1" applyProtection="1">
      <alignment vertical="center" wrapText="1"/>
    </xf>
    <xf numFmtId="0" fontId="43" fillId="0" borderId="69" xfId="11" applyFont="1" applyFill="1" applyBorder="1" applyAlignment="1" applyProtection="1">
      <alignment horizontal="left" vertical="center" wrapText="1" indent="1"/>
    </xf>
    <xf numFmtId="164" fontId="43" fillId="0" borderId="68" xfId="11" applyNumberFormat="1" applyFont="1" applyFill="1" applyBorder="1" applyAlignment="1" applyProtection="1">
      <alignment horizontal="center" vertical="center" wrapText="1"/>
      <protection locked="0"/>
    </xf>
    <xf numFmtId="0" fontId="43" fillId="0" borderId="63" xfId="11" applyFont="1" applyFill="1" applyBorder="1" applyAlignment="1" applyProtection="1">
      <alignment horizontal="left" vertical="center" wrapText="1" indent="1"/>
    </xf>
    <xf numFmtId="164" fontId="43" fillId="0" borderId="3" xfId="11" applyNumberFormat="1" applyFont="1" applyFill="1" applyBorder="1" applyAlignment="1" applyProtection="1">
      <alignment horizontal="center" vertical="center" wrapText="1"/>
      <protection locked="0"/>
    </xf>
    <xf numFmtId="0" fontId="97" fillId="0" borderId="1" xfId="11" applyFont="1" applyFill="1" applyBorder="1" applyAlignment="1" applyProtection="1">
      <alignment horizontal="left" vertical="center" wrapText="1" indent="1"/>
    </xf>
    <xf numFmtId="164" fontId="97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97" fillId="0" borderId="23" xfId="11" applyFont="1" applyFill="1" applyBorder="1" applyAlignment="1" applyProtection="1">
      <alignment horizontal="left" vertical="center" wrapText="1" indent="1"/>
    </xf>
    <xf numFmtId="0" fontId="97" fillId="0" borderId="59" xfId="11" applyFont="1" applyFill="1" applyBorder="1" applyAlignment="1" applyProtection="1">
      <alignment horizontal="left"/>
    </xf>
    <xf numFmtId="0" fontId="34" fillId="0" borderId="62" xfId="11" applyFont="1" applyFill="1" applyBorder="1" applyAlignment="1" applyProtection="1">
      <alignment horizontal="left"/>
    </xf>
    <xf numFmtId="0" fontId="43" fillId="0" borderId="62" xfId="11" applyFont="1" applyFill="1" applyBorder="1" applyAlignment="1" applyProtection="1">
      <alignment horizontal="left" indent="1"/>
    </xf>
    <xf numFmtId="164" fontId="43" fillId="0" borderId="2" xfId="11" applyNumberFormat="1" applyFont="1" applyFill="1" applyBorder="1" applyAlignment="1" applyProtection="1">
      <alignment horizontal="center" vertical="center" wrapText="1"/>
      <protection locked="0"/>
    </xf>
    <xf numFmtId="0" fontId="43" fillId="0" borderId="72" xfId="11" applyFont="1" applyFill="1" applyBorder="1" applyAlignment="1" applyProtection="1">
      <alignment horizontal="left" indent="1"/>
    </xf>
    <xf numFmtId="164" fontId="43" fillId="0" borderId="29" xfId="11" applyNumberFormat="1" applyFont="1" applyFill="1" applyBorder="1" applyAlignment="1" applyProtection="1">
      <alignment horizontal="center" vertical="center" wrapText="1"/>
      <protection locked="0"/>
    </xf>
    <xf numFmtId="0" fontId="97" fillId="0" borderId="13" xfId="11" applyFont="1" applyFill="1" applyBorder="1" applyAlignment="1" applyProtection="1">
      <alignment horizontal="left" vertical="center" wrapText="1"/>
    </xf>
    <xf numFmtId="164" fontId="97" fillId="0" borderId="35" xfId="11" applyNumberFormat="1" applyFont="1" applyFill="1" applyBorder="1" applyAlignment="1" applyProtection="1">
      <alignment horizontal="center" vertical="center" wrapText="1"/>
      <protection locked="0"/>
    </xf>
    <xf numFmtId="0" fontId="97" fillId="0" borderId="59" xfId="11" applyFont="1" applyFill="1" applyBorder="1" applyAlignment="1" applyProtection="1">
      <alignment vertical="center" wrapText="1"/>
    </xf>
    <xf numFmtId="0" fontId="43" fillId="0" borderId="61" xfId="11" applyFont="1" applyFill="1" applyBorder="1" applyAlignment="1" applyProtection="1">
      <alignment horizontal="left" vertical="center" wrapText="1" indent="1"/>
    </xf>
    <xf numFmtId="164" fontId="43" fillId="0" borderId="12" xfId="11" applyNumberFormat="1" applyFont="1" applyFill="1" applyBorder="1" applyAlignment="1" applyProtection="1">
      <alignment horizontal="center" vertical="center" wrapText="1"/>
      <protection locked="0"/>
    </xf>
    <xf numFmtId="164" fontId="97" fillId="0" borderId="14" xfId="11" applyNumberFormat="1" applyFont="1" applyFill="1" applyBorder="1" applyAlignment="1" applyProtection="1">
      <alignment horizontal="center" vertical="center" wrapText="1"/>
    </xf>
    <xf numFmtId="164" fontId="97" fillId="0" borderId="59" xfId="11" applyNumberFormat="1" applyFont="1" applyFill="1" applyBorder="1" applyAlignment="1" applyProtection="1">
      <alignment horizontal="center" vertical="center" wrapText="1"/>
    </xf>
    <xf numFmtId="164" fontId="97" fillId="0" borderId="1" xfId="11" applyNumberFormat="1" applyFont="1" applyFill="1" applyBorder="1" applyAlignment="1" applyProtection="1">
      <alignment horizontal="center" vertical="center" wrapText="1"/>
    </xf>
    <xf numFmtId="164" fontId="97" fillId="5" borderId="1" xfId="11" applyNumberFormat="1" applyFont="1" applyFill="1" applyBorder="1" applyAlignment="1" applyProtection="1">
      <alignment horizontal="center" vertical="center" wrapText="1"/>
      <protection locked="0"/>
    </xf>
    <xf numFmtId="164" fontId="97" fillId="0" borderId="14" xfId="11" applyNumberFormat="1" applyFont="1" applyFill="1" applyBorder="1" applyAlignment="1" applyProtection="1">
      <alignment horizontal="center" vertical="center" wrapText="1"/>
      <protection locked="0"/>
    </xf>
    <xf numFmtId="164" fontId="97" fillId="0" borderId="59" xfId="11" applyNumberFormat="1" applyFont="1" applyFill="1" applyBorder="1" applyAlignment="1" applyProtection="1">
      <alignment horizontal="center" vertical="center" wrapText="1"/>
      <protection locked="0"/>
    </xf>
    <xf numFmtId="165" fontId="28" fillId="5" borderId="0" xfId="1" applyNumberFormat="1" applyFont="1" applyFill="1"/>
    <xf numFmtId="0" fontId="13" fillId="0" borderId="45" xfId="0" applyFont="1" applyFill="1" applyBorder="1" applyAlignment="1">
      <alignment vertical="center" wrapText="1"/>
    </xf>
    <xf numFmtId="165" fontId="14" fillId="0" borderId="25" xfId="1" applyNumberFormat="1" applyFont="1" applyFill="1" applyBorder="1"/>
    <xf numFmtId="165" fontId="15" fillId="0" borderId="1" xfId="1" applyNumberFormat="1" applyFont="1" applyFill="1" applyBorder="1"/>
    <xf numFmtId="165" fontId="14" fillId="0" borderId="16" xfId="1" applyNumberFormat="1" applyFont="1" applyFill="1" applyBorder="1"/>
    <xf numFmtId="165" fontId="15" fillId="0" borderId="14" xfId="1" applyNumberFormat="1" applyFont="1" applyFill="1" applyBorder="1"/>
    <xf numFmtId="0" fontId="13" fillId="0" borderId="70" xfId="0" applyFont="1" applyBorder="1" applyAlignment="1">
      <alignment vertical="center" wrapText="1"/>
    </xf>
    <xf numFmtId="165" fontId="13" fillId="0" borderId="70" xfId="1" applyNumberFormat="1" applyFont="1" applyBorder="1"/>
    <xf numFmtId="165" fontId="13" fillId="0" borderId="23" xfId="1" applyNumberFormat="1" applyFont="1" applyBorder="1"/>
    <xf numFmtId="165" fontId="14" fillId="0" borderId="26" xfId="1" applyNumberFormat="1" applyFont="1" applyFill="1" applyBorder="1"/>
    <xf numFmtId="165" fontId="8" fillId="0" borderId="19" xfId="1" applyNumberFormat="1" applyFont="1" applyFill="1" applyBorder="1"/>
    <xf numFmtId="165" fontId="15" fillId="0" borderId="34" xfId="1" applyNumberFormat="1" applyFont="1" applyFill="1" applyBorder="1"/>
    <xf numFmtId="165" fontId="13" fillId="0" borderId="70" xfId="1" applyNumberFormat="1" applyFont="1" applyFill="1" applyBorder="1"/>
    <xf numFmtId="165" fontId="13" fillId="0" borderId="28" xfId="1" applyNumberFormat="1" applyFont="1" applyFill="1" applyBorder="1"/>
    <xf numFmtId="165" fontId="8" fillId="0" borderId="56" xfId="1" applyNumberFormat="1" applyFont="1" applyFill="1" applyBorder="1"/>
    <xf numFmtId="165" fontId="15" fillId="0" borderId="23" xfId="1" applyNumberFormat="1" applyFont="1" applyBorder="1"/>
    <xf numFmtId="165" fontId="15" fillId="0" borderId="70" xfId="1" applyNumberFormat="1" applyFont="1" applyBorder="1"/>
    <xf numFmtId="165" fontId="13" fillId="0" borderId="2" xfId="1" applyNumberFormat="1" applyFont="1" applyFill="1" applyBorder="1"/>
    <xf numFmtId="3" fontId="7" fillId="0" borderId="18" xfId="0" applyNumberFormat="1" applyFont="1" applyBorder="1" applyAlignment="1">
      <alignment wrapText="1"/>
    </xf>
    <xf numFmtId="0" fontId="68" fillId="0" borderId="1" xfId="0" applyFont="1" applyBorder="1"/>
    <xf numFmtId="165" fontId="8" fillId="0" borderId="59" xfId="1" applyNumberFormat="1" applyFont="1" applyFill="1" applyBorder="1" applyAlignment="1">
      <alignment horizontal="center"/>
    </xf>
    <xf numFmtId="165" fontId="8" fillId="0" borderId="69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3" fontId="52" fillId="0" borderId="0" xfId="9" applyNumberFormat="1"/>
    <xf numFmtId="0" fontId="6" fillId="0" borderId="0" xfId="9" applyFont="1"/>
    <xf numFmtId="3" fontId="6" fillId="0" borderId="0" xfId="9" applyNumberFormat="1" applyFont="1"/>
    <xf numFmtId="165" fontId="6" fillId="0" borderId="0" xfId="1" applyNumberFormat="1" applyFont="1"/>
    <xf numFmtId="165" fontId="12" fillId="0" borderId="30" xfId="2" applyNumberFormat="1" applyFont="1" applyFill="1" applyBorder="1"/>
    <xf numFmtId="165" fontId="6" fillId="0" borderId="65" xfId="2" applyNumberFormat="1" applyFont="1" applyFill="1" applyBorder="1"/>
    <xf numFmtId="165" fontId="0" fillId="0" borderId="53" xfId="2" applyNumberFormat="1" applyFont="1" applyFill="1" applyBorder="1"/>
    <xf numFmtId="165" fontId="6" fillId="0" borderId="1" xfId="2" applyNumberFormat="1" applyFont="1" applyFill="1" applyBorder="1"/>
    <xf numFmtId="0" fontId="47" fillId="0" borderId="3" xfId="0" applyFont="1" applyFill="1" applyBorder="1" applyAlignment="1">
      <alignment horizontal="left" vertical="center" wrapText="1"/>
    </xf>
    <xf numFmtId="0" fontId="48" fillId="0" borderId="1" xfId="0" applyFont="1" applyFill="1" applyBorder="1" applyAlignment="1">
      <alignment horizontal="left" vertical="center"/>
    </xf>
    <xf numFmtId="165" fontId="0" fillId="0" borderId="10" xfId="0" applyNumberFormat="1" applyFill="1" applyBorder="1"/>
    <xf numFmtId="165" fontId="6" fillId="0" borderId="1" xfId="0" applyNumberFormat="1" applyFont="1" applyFill="1" applyBorder="1"/>
    <xf numFmtId="165" fontId="12" fillId="0" borderId="11" xfId="2" applyNumberFormat="1" applyFont="1" applyFill="1" applyBorder="1"/>
    <xf numFmtId="165" fontId="0" fillId="0" borderId="11" xfId="2" applyNumberFormat="1" applyFont="1" applyFill="1" applyBorder="1"/>
    <xf numFmtId="165" fontId="6" fillId="0" borderId="21" xfId="0" applyNumberFormat="1" applyFont="1" applyFill="1" applyBorder="1"/>
    <xf numFmtId="165" fontId="14" fillId="0" borderId="8" xfId="2" applyNumberFormat="1" applyFont="1" applyFill="1" applyBorder="1" applyAlignment="1">
      <alignment horizontal="center" vertical="center"/>
    </xf>
    <xf numFmtId="165" fontId="14" fillId="0" borderId="11" xfId="2" applyNumberFormat="1" applyFont="1" applyFill="1" applyBorder="1" applyAlignment="1">
      <alignment horizontal="center" vertical="center"/>
    </xf>
    <xf numFmtId="0" fontId="21" fillId="0" borderId="0" xfId="0" applyFont="1" applyFill="1" applyAlignment="1"/>
    <xf numFmtId="0" fontId="0" fillId="0" borderId="0" xfId="0" applyFont="1" applyFill="1"/>
    <xf numFmtId="0" fontId="8" fillId="0" borderId="1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left" vertical="center" wrapText="1"/>
    </xf>
    <xf numFmtId="3" fontId="14" fillId="0" borderId="31" xfId="0" applyNumberFormat="1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0" fontId="8" fillId="0" borderId="45" xfId="0" applyFont="1" applyFill="1" applyBorder="1" applyAlignment="1">
      <alignment horizontal="left" vertical="center" wrapText="1"/>
    </xf>
    <xf numFmtId="0" fontId="12" fillId="0" borderId="0" xfId="0" applyFont="1" applyFill="1"/>
    <xf numFmtId="0" fontId="8" fillId="0" borderId="52" xfId="0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left" vertical="center"/>
    </xf>
    <xf numFmtId="3" fontId="8" fillId="0" borderId="56" xfId="0" applyNumberFormat="1" applyFont="1" applyFill="1" applyBorder="1" applyAlignment="1">
      <alignment horizontal="center"/>
    </xf>
    <xf numFmtId="0" fontId="15" fillId="0" borderId="42" xfId="0" applyFont="1" applyFill="1" applyBorder="1" applyAlignment="1">
      <alignment horizontal="left" vertical="center" wrapText="1"/>
    </xf>
    <xf numFmtId="3" fontId="8" fillId="0" borderId="32" xfId="0" applyNumberFormat="1" applyFont="1" applyFill="1" applyBorder="1" applyAlignment="1">
      <alignment horizontal="center"/>
    </xf>
    <xf numFmtId="0" fontId="15" fillId="0" borderId="45" xfId="0" applyFont="1" applyFill="1" applyBorder="1" applyAlignment="1">
      <alignment horizontal="left" vertical="center" wrapText="1"/>
    </xf>
    <xf numFmtId="0" fontId="15" fillId="0" borderId="52" xfId="0" applyFont="1" applyFill="1" applyBorder="1" applyAlignment="1">
      <alignment horizontal="left" vertical="center" wrapText="1"/>
    </xf>
    <xf numFmtId="3" fontId="8" fillId="0" borderId="53" xfId="0" applyNumberFormat="1" applyFont="1" applyFill="1" applyBorder="1" applyAlignment="1">
      <alignment horizontal="center"/>
    </xf>
    <xf numFmtId="165" fontId="14" fillId="0" borderId="31" xfId="2" applyNumberFormat="1" applyFont="1" applyFill="1" applyBorder="1" applyAlignment="1">
      <alignment horizontal="center"/>
    </xf>
    <xf numFmtId="3" fontId="14" fillId="0" borderId="32" xfId="0" applyNumberFormat="1" applyFont="1" applyFill="1" applyBorder="1" applyAlignment="1">
      <alignment horizontal="center"/>
    </xf>
    <xf numFmtId="3" fontId="14" fillId="0" borderId="16" xfId="0" applyNumberFormat="1" applyFont="1" applyFill="1" applyBorder="1" applyAlignment="1">
      <alignment horizontal="center"/>
    </xf>
    <xf numFmtId="3" fontId="14" fillId="0" borderId="53" xfId="0" applyNumberFormat="1" applyFont="1" applyFill="1" applyBorder="1" applyAlignment="1">
      <alignment horizontal="center"/>
    </xf>
    <xf numFmtId="165" fontId="8" fillId="0" borderId="19" xfId="2" applyNumberFormat="1" applyFont="1" applyFill="1" applyBorder="1" applyAlignment="1">
      <alignment horizontal="center"/>
    </xf>
    <xf numFmtId="0" fontId="8" fillId="0" borderId="55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wrapText="1"/>
    </xf>
    <xf numFmtId="165" fontId="14" fillId="0" borderId="31" xfId="2" applyNumberFormat="1" applyFont="1" applyFill="1" applyBorder="1" applyAlignment="1"/>
    <xf numFmtId="165" fontId="8" fillId="0" borderId="19" xfId="2" applyNumberFormat="1" applyFont="1" applyFill="1" applyBorder="1" applyAlignment="1"/>
    <xf numFmtId="0" fontId="15" fillId="0" borderId="0" xfId="0" applyFont="1" applyFill="1" applyBorder="1" applyAlignment="1">
      <alignment horizontal="center" wrapText="1"/>
    </xf>
    <xf numFmtId="3" fontId="18" fillId="0" borderId="0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/>
    <xf numFmtId="0" fontId="6" fillId="0" borderId="0" xfId="0" applyFont="1" applyFill="1"/>
    <xf numFmtId="3" fontId="14" fillId="0" borderId="31" xfId="0" applyNumberFormat="1" applyFont="1" applyFill="1" applyBorder="1" applyAlignment="1">
      <alignment horizontal="center" vertical="center"/>
    </xf>
    <xf numFmtId="3" fontId="14" fillId="0" borderId="8" xfId="0" applyNumberFormat="1" applyFont="1" applyFill="1" applyBorder="1" applyAlignment="1">
      <alignment horizontal="center" vertical="center"/>
    </xf>
    <xf numFmtId="165" fontId="8" fillId="2" borderId="41" xfId="1" applyNumberFormat="1" applyFont="1" applyFill="1" applyBorder="1" applyAlignment="1">
      <alignment horizontal="center"/>
    </xf>
    <xf numFmtId="165" fontId="14" fillId="0" borderId="0" xfId="3" applyNumberFormat="1" applyFont="1"/>
    <xf numFmtId="0" fontId="14" fillId="0" borderId="0" xfId="15" applyBorder="1"/>
    <xf numFmtId="165" fontId="14" fillId="0" borderId="0" xfId="3" applyNumberFormat="1" applyFont="1" applyBorder="1"/>
    <xf numFmtId="0" fontId="15" fillId="0" borderId="55" xfId="15" applyFont="1" applyBorder="1" applyAlignment="1">
      <alignment horizontal="center" vertical="center" wrapText="1"/>
    </xf>
    <xf numFmtId="165" fontId="14" fillId="0" borderId="0" xfId="3" applyNumberFormat="1" applyFont="1" applyAlignment="1">
      <alignment wrapText="1"/>
    </xf>
    <xf numFmtId="165" fontId="14" fillId="5" borderId="8" xfId="3" applyNumberFormat="1" applyFont="1" applyFill="1" applyBorder="1"/>
    <xf numFmtId="165" fontId="14" fillId="0" borderId="8" xfId="3" applyNumberFormat="1" applyFont="1" applyBorder="1"/>
    <xf numFmtId="165" fontId="14" fillId="0" borderId="16" xfId="3" applyNumberFormat="1" applyFont="1" applyBorder="1"/>
    <xf numFmtId="0" fontId="14" fillId="0" borderId="45" xfId="15" applyFont="1" applyBorder="1" applyAlignment="1">
      <alignment wrapText="1"/>
    </xf>
    <xf numFmtId="0" fontId="14" fillId="0" borderId="45" xfId="15" applyFont="1" applyBorder="1" applyAlignment="1">
      <alignment vertical="center" wrapText="1"/>
    </xf>
    <xf numFmtId="0" fontId="53" fillId="0" borderId="1" xfId="15" applyFont="1" applyBorder="1"/>
    <xf numFmtId="165" fontId="59" fillId="0" borderId="1" xfId="3" applyNumberFormat="1" applyFont="1" applyBorder="1"/>
    <xf numFmtId="0" fontId="53" fillId="0" borderId="0" xfId="15" applyFont="1" applyBorder="1"/>
    <xf numFmtId="0" fontId="8" fillId="0" borderId="0" xfId="15" applyFont="1" applyBorder="1"/>
    <xf numFmtId="0" fontId="14" fillId="2" borderId="0" xfId="15" applyFill="1"/>
    <xf numFmtId="0" fontId="79" fillId="0" borderId="90" xfId="13" applyFont="1" applyFill="1" applyBorder="1" applyAlignment="1" applyProtection="1">
      <alignment horizontal="center" vertical="center" wrapText="1"/>
    </xf>
    <xf numFmtId="0" fontId="79" fillId="0" borderId="1" xfId="13" applyFont="1" applyFill="1" applyBorder="1" applyAlignment="1" applyProtection="1">
      <alignment horizontal="center" vertical="center" wrapText="1"/>
    </xf>
    <xf numFmtId="169" fontId="75" fillId="0" borderId="71" xfId="13" applyNumberFormat="1" applyFont="1" applyFill="1" applyBorder="1" applyAlignment="1" applyProtection="1">
      <alignment horizontal="right" vertical="center" wrapText="1"/>
      <protection locked="0"/>
    </xf>
    <xf numFmtId="169" fontId="75" fillId="0" borderId="68" xfId="13" applyNumberFormat="1" applyFont="1" applyFill="1" applyBorder="1" applyAlignment="1" applyProtection="1">
      <alignment horizontal="right" vertical="center" wrapText="1"/>
      <protection locked="0"/>
    </xf>
    <xf numFmtId="169" fontId="75" fillId="0" borderId="6" xfId="13" applyNumberFormat="1" applyFont="1" applyFill="1" applyBorder="1" applyAlignment="1" applyProtection="1">
      <alignment horizontal="right" vertical="center" wrapText="1"/>
    </xf>
    <xf numFmtId="169" fontId="75" fillId="0" borderId="2" xfId="13" applyNumberFormat="1" applyFont="1" applyFill="1" applyBorder="1" applyAlignment="1" applyProtection="1">
      <alignment horizontal="right" vertical="center" wrapText="1"/>
    </xf>
    <xf numFmtId="169" fontId="77" fillId="0" borderId="6" xfId="13" applyNumberFormat="1" applyFont="1" applyFill="1" applyBorder="1" applyAlignment="1" applyProtection="1">
      <alignment horizontal="right" vertical="center" wrapText="1"/>
      <protection locked="0"/>
    </xf>
    <xf numFmtId="169" fontId="77" fillId="0" borderId="2" xfId="13" applyNumberFormat="1" applyFont="1" applyFill="1" applyBorder="1" applyAlignment="1" applyProtection="1">
      <alignment horizontal="right" vertical="center" wrapText="1"/>
      <protection locked="0"/>
    </xf>
    <xf numFmtId="169" fontId="76" fillId="0" borderId="6" xfId="13" applyNumberFormat="1" applyFont="1" applyFill="1" applyBorder="1" applyAlignment="1" applyProtection="1">
      <alignment horizontal="right" vertical="center" wrapText="1"/>
    </xf>
    <xf numFmtId="169" fontId="76" fillId="0" borderId="2" xfId="13" applyNumberFormat="1" applyFont="1" applyFill="1" applyBorder="1" applyAlignment="1" applyProtection="1">
      <alignment horizontal="right" vertical="center" wrapText="1"/>
    </xf>
    <xf numFmtId="169" fontId="77" fillId="0" borderId="6" xfId="13" applyNumberFormat="1" applyFont="1" applyFill="1" applyBorder="1" applyAlignment="1" applyProtection="1">
      <alignment horizontal="right" vertical="center" wrapText="1"/>
    </xf>
    <xf numFmtId="169" fontId="77" fillId="0" borderId="2" xfId="13" applyNumberFormat="1" applyFont="1" applyFill="1" applyBorder="1" applyAlignment="1" applyProtection="1">
      <alignment horizontal="right" vertical="center" wrapText="1"/>
    </xf>
    <xf numFmtId="169" fontId="76" fillId="0" borderId="6" xfId="13" applyNumberFormat="1" applyFont="1" applyFill="1" applyBorder="1" applyAlignment="1" applyProtection="1">
      <alignment horizontal="right" vertical="center" wrapText="1"/>
      <protection locked="0"/>
    </xf>
    <xf numFmtId="169" fontId="76" fillId="0" borderId="2" xfId="13" applyNumberFormat="1" applyFont="1" applyFill="1" applyBorder="1" applyAlignment="1" applyProtection="1">
      <alignment horizontal="right" vertical="center" wrapText="1"/>
      <protection locked="0"/>
    </xf>
    <xf numFmtId="0" fontId="76" fillId="0" borderId="52" xfId="13" applyFont="1" applyFill="1" applyBorder="1" applyAlignment="1" applyProtection="1">
      <alignment vertical="center" wrapText="1"/>
    </xf>
    <xf numFmtId="168" fontId="83" fillId="0" borderId="63" xfId="12" applyNumberFormat="1" applyFont="1" applyFill="1" applyBorder="1" applyAlignment="1" applyProtection="1">
      <alignment horizontal="center" vertical="center"/>
    </xf>
    <xf numFmtId="169" fontId="77" fillId="0" borderId="7" xfId="13" applyNumberFormat="1" applyFont="1" applyFill="1" applyBorder="1" applyAlignment="1" applyProtection="1">
      <alignment horizontal="right" vertical="center" wrapText="1"/>
      <protection locked="0"/>
    </xf>
    <xf numFmtId="169" fontId="77" fillId="0" borderId="3" xfId="13" applyNumberFormat="1" applyFont="1" applyFill="1" applyBorder="1" applyAlignment="1" applyProtection="1">
      <alignment horizontal="right" vertical="center" wrapText="1"/>
      <protection locked="0"/>
    </xf>
    <xf numFmtId="168" fontId="82" fillId="0" borderId="59" xfId="12" applyNumberFormat="1" applyFont="1" applyFill="1" applyBorder="1" applyAlignment="1" applyProtection="1">
      <alignment horizontal="center" vertical="center"/>
    </xf>
    <xf numFmtId="169" fontId="76" fillId="0" borderId="41" xfId="13" applyNumberFormat="1" applyFont="1" applyFill="1" applyBorder="1" applyAlignment="1" applyProtection="1">
      <alignment horizontal="right" vertical="center" wrapText="1"/>
    </xf>
    <xf numFmtId="169" fontId="76" fillId="0" borderId="1" xfId="13" applyNumberFormat="1" applyFont="1" applyFill="1" applyBorder="1" applyAlignment="1" applyProtection="1">
      <alignment horizontal="right" vertical="center" wrapText="1"/>
    </xf>
    <xf numFmtId="0" fontId="76" fillId="0" borderId="89" xfId="13" applyFont="1" applyFill="1" applyBorder="1" applyAlignment="1" applyProtection="1">
      <alignment vertical="center" wrapText="1"/>
    </xf>
    <xf numFmtId="168" fontId="83" fillId="0" borderId="61" xfId="12" applyNumberFormat="1" applyFont="1" applyFill="1" applyBorder="1" applyAlignment="1" applyProtection="1">
      <alignment horizontal="center" vertical="center"/>
    </xf>
    <xf numFmtId="169" fontId="77" fillId="0" borderId="5" xfId="13" applyNumberFormat="1" applyFont="1" applyFill="1" applyBorder="1" applyAlignment="1" applyProtection="1">
      <alignment horizontal="right" vertical="center" wrapText="1"/>
      <protection locked="0"/>
    </xf>
    <xf numFmtId="169" fontId="77" fillId="0" borderId="12" xfId="13" applyNumberFormat="1" applyFont="1" applyFill="1" applyBorder="1" applyAlignment="1" applyProtection="1">
      <alignment horizontal="right" vertical="center" wrapText="1"/>
      <protection locked="0"/>
    </xf>
    <xf numFmtId="168" fontId="84" fillId="0" borderId="59" xfId="12" applyNumberFormat="1" applyFont="1" applyFill="1" applyBorder="1" applyAlignment="1" applyProtection="1">
      <alignment horizontal="center" vertical="center"/>
    </xf>
    <xf numFmtId="169" fontId="75" fillId="0" borderId="41" xfId="13" applyNumberFormat="1" applyFont="1" applyFill="1" applyBorder="1" applyAlignment="1" applyProtection="1">
      <alignment horizontal="right" vertical="center" wrapText="1"/>
    </xf>
    <xf numFmtId="0" fontId="79" fillId="0" borderId="90" xfId="13" applyFont="1" applyFill="1" applyBorder="1" applyProtection="1">
      <protection locked="0"/>
    </xf>
    <xf numFmtId="0" fontId="78" fillId="0" borderId="88" xfId="13" applyFont="1" applyFill="1" applyBorder="1" applyAlignment="1">
      <alignment horizontal="right" indent="1"/>
    </xf>
    <xf numFmtId="3" fontId="79" fillId="0" borderId="88" xfId="13" applyNumberFormat="1" applyFont="1" applyFill="1" applyBorder="1" applyAlignment="1" applyProtection="1">
      <alignment horizontal="center"/>
      <protection locked="0"/>
    </xf>
    <xf numFmtId="164" fontId="97" fillId="0" borderId="0" xfId="11" applyNumberFormat="1" applyFont="1" applyFill="1" applyBorder="1" applyAlignment="1" applyProtection="1">
      <alignment horizontal="centerContinuous" vertical="center"/>
    </xf>
    <xf numFmtId="165" fontId="97" fillId="5" borderId="0" xfId="1" applyNumberFormat="1" applyFont="1" applyFill="1" applyBorder="1" applyAlignment="1" applyProtection="1">
      <alignment horizontal="centerContinuous" vertical="center"/>
    </xf>
    <xf numFmtId="164" fontId="97" fillId="0" borderId="0" xfId="11" applyNumberFormat="1" applyFont="1" applyFill="1" applyBorder="1" applyAlignment="1" applyProtection="1">
      <alignment vertical="center"/>
    </xf>
    <xf numFmtId="49" fontId="97" fillId="0" borderId="35" xfId="11" applyNumberFormat="1" applyFont="1" applyFill="1" applyBorder="1" applyAlignment="1" applyProtection="1">
      <alignment horizontal="center" vertical="center" wrapText="1"/>
    </xf>
    <xf numFmtId="49" fontId="97" fillId="0" borderId="13" xfId="11" applyNumberFormat="1" applyFont="1" applyFill="1" applyBorder="1" applyAlignment="1" applyProtection="1">
      <alignment horizontal="center" vertical="center" wrapText="1"/>
    </xf>
    <xf numFmtId="49" fontId="97" fillId="5" borderId="35" xfId="1" applyNumberFormat="1" applyFont="1" applyFill="1" applyBorder="1" applyAlignment="1" applyProtection="1">
      <alignment horizontal="center" vertical="center" wrapText="1"/>
    </xf>
    <xf numFmtId="49" fontId="97" fillId="0" borderId="91" xfId="11" applyNumberFormat="1" applyFont="1" applyFill="1" applyBorder="1" applyAlignment="1" applyProtection="1">
      <alignment horizontal="center" vertical="center" wrapText="1"/>
    </xf>
    <xf numFmtId="49" fontId="97" fillId="0" borderId="90" xfId="11" applyNumberFormat="1" applyFont="1" applyFill="1" applyBorder="1" applyAlignment="1" applyProtection="1">
      <alignment horizontal="center" vertical="center" wrapText="1"/>
    </xf>
    <xf numFmtId="49" fontId="97" fillId="0" borderId="88" xfId="11" applyNumberFormat="1" applyFont="1" applyFill="1" applyBorder="1" applyAlignment="1" applyProtection="1">
      <alignment horizontal="center" vertical="center" wrapText="1"/>
    </xf>
    <xf numFmtId="49" fontId="97" fillId="5" borderId="97" xfId="1" applyNumberFormat="1" applyFont="1" applyFill="1" applyBorder="1" applyAlignment="1" applyProtection="1">
      <alignment horizontal="center" vertical="center" wrapText="1"/>
    </xf>
    <xf numFmtId="49" fontId="97" fillId="0" borderId="97" xfId="11" applyNumberFormat="1" applyFont="1" applyFill="1" applyBorder="1" applyAlignment="1" applyProtection="1">
      <alignment horizontal="center" vertical="center" wrapText="1"/>
    </xf>
    <xf numFmtId="169" fontId="75" fillId="0" borderId="1" xfId="13" applyNumberFormat="1" applyFont="1" applyFill="1" applyBorder="1" applyAlignment="1" applyProtection="1">
      <alignment horizontal="right" vertical="center" wrapText="1"/>
    </xf>
    <xf numFmtId="3" fontId="40" fillId="5" borderId="10" xfId="0" applyNumberFormat="1" applyFont="1" applyFill="1" applyBorder="1"/>
    <xf numFmtId="3" fontId="40" fillId="5" borderId="11" xfId="0" applyNumberFormat="1" applyFont="1" applyFill="1" applyBorder="1"/>
    <xf numFmtId="3" fontId="42" fillId="0" borderId="62" xfId="0" applyNumberFormat="1" applyFont="1" applyFill="1" applyBorder="1"/>
    <xf numFmtId="0" fontId="35" fillId="0" borderId="29" xfId="0" applyFont="1" applyBorder="1" applyAlignment="1">
      <alignment wrapText="1"/>
    </xf>
    <xf numFmtId="3" fontId="40" fillId="0" borderId="71" xfId="0" applyNumberFormat="1" applyFont="1" applyFill="1" applyBorder="1" applyAlignment="1">
      <alignment wrapText="1"/>
    </xf>
    <xf numFmtId="3" fontId="42" fillId="0" borderId="22" xfId="0" applyNumberFormat="1" applyFont="1" applyFill="1" applyBorder="1"/>
    <xf numFmtId="3" fontId="34" fillId="0" borderId="1" xfId="0" applyNumberFormat="1" applyFont="1" applyFill="1" applyBorder="1"/>
    <xf numFmtId="3" fontId="34" fillId="0" borderId="41" xfId="0" applyNumberFormat="1" applyFont="1" applyFill="1" applyBorder="1"/>
    <xf numFmtId="3" fontId="42" fillId="0" borderId="24" xfId="0" applyNumberFormat="1" applyFont="1" applyFill="1" applyBorder="1"/>
    <xf numFmtId="3" fontId="40" fillId="0" borderId="29" xfId="0" applyNumberFormat="1" applyFont="1" applyFill="1" applyBorder="1"/>
    <xf numFmtId="3" fontId="42" fillId="0" borderId="21" xfId="0" applyNumberFormat="1" applyFont="1" applyFill="1" applyBorder="1"/>
    <xf numFmtId="3" fontId="34" fillId="0" borderId="14" xfId="0" applyNumberFormat="1" applyFont="1" applyFill="1" applyBorder="1"/>
    <xf numFmtId="3" fontId="24" fillId="0" borderId="35" xfId="0" applyNumberFormat="1" applyFont="1" applyFill="1" applyBorder="1"/>
    <xf numFmtId="0" fontId="14" fillId="0" borderId="45" xfId="15" applyFont="1" applyFill="1" applyBorder="1" applyAlignment="1">
      <alignment vertical="center" wrapText="1"/>
    </xf>
    <xf numFmtId="165" fontId="14" fillId="0" borderId="8" xfId="3" applyNumberFormat="1" applyFont="1" applyFill="1" applyBorder="1"/>
    <xf numFmtId="0" fontId="53" fillId="0" borderId="55" xfId="15" applyFont="1" applyFill="1" applyBorder="1"/>
    <xf numFmtId="165" fontId="53" fillId="0" borderId="19" xfId="3" applyNumberFormat="1" applyFont="1" applyFill="1" applyBorder="1"/>
    <xf numFmtId="165" fontId="14" fillId="0" borderId="0" xfId="3" applyNumberFormat="1" applyFont="1" applyBorder="1" applyAlignment="1"/>
    <xf numFmtId="165" fontId="14" fillId="0" borderId="0" xfId="3" applyNumberFormat="1" applyFont="1" applyAlignment="1"/>
    <xf numFmtId="0" fontId="60" fillId="0" borderId="60" xfId="0" applyFont="1" applyBorder="1"/>
    <xf numFmtId="3" fontId="7" fillId="0" borderId="47" xfId="0" applyNumberFormat="1" applyFont="1" applyBorder="1"/>
    <xf numFmtId="0" fontId="7" fillId="0" borderId="68" xfId="0" applyFont="1" applyBorder="1"/>
    <xf numFmtId="0" fontId="7" fillId="0" borderId="2" xfId="0" applyFont="1" applyBorder="1"/>
    <xf numFmtId="0" fontId="0" fillId="0" borderId="23" xfId="0" applyBorder="1"/>
    <xf numFmtId="0" fontId="7" fillId="0" borderId="29" xfId="0" applyFont="1" applyBorder="1"/>
    <xf numFmtId="3" fontId="68" fillId="0" borderId="35" xfId="0" applyNumberFormat="1" applyFont="1" applyBorder="1"/>
    <xf numFmtId="0" fontId="0" fillId="0" borderId="2" xfId="0" applyBorder="1"/>
    <xf numFmtId="3" fontId="7" fillId="0" borderId="29" xfId="0" applyNumberFormat="1" applyFont="1" applyBorder="1"/>
    <xf numFmtId="3" fontId="68" fillId="0" borderId="1" xfId="0" applyNumberFormat="1" applyFont="1" applyBorder="1" applyAlignment="1">
      <alignment wrapText="1"/>
    </xf>
    <xf numFmtId="3" fontId="7" fillId="0" borderId="12" xfId="0" applyNumberFormat="1" applyFont="1" applyFill="1" applyBorder="1" applyAlignment="1"/>
    <xf numFmtId="3" fontId="7" fillId="0" borderId="61" xfId="0" applyNumberFormat="1" applyFont="1" applyFill="1" applyBorder="1" applyAlignment="1"/>
    <xf numFmtId="3" fontId="7" fillId="0" borderId="62" xfId="0" applyNumberFormat="1" applyFont="1" applyFill="1" applyBorder="1" applyAlignment="1"/>
    <xf numFmtId="3" fontId="7" fillId="0" borderId="23" xfId="0" applyNumberFormat="1" applyFont="1" applyFill="1" applyBorder="1" applyAlignment="1"/>
    <xf numFmtId="3" fontId="7" fillId="0" borderId="0" xfId="0" applyNumberFormat="1" applyFont="1" applyFill="1" applyBorder="1" applyAlignment="1"/>
    <xf numFmtId="3" fontId="7" fillId="0" borderId="1" xfId="0" applyNumberFormat="1" applyFont="1" applyFill="1" applyBorder="1" applyAlignment="1"/>
    <xf numFmtId="0" fontId="7" fillId="0" borderId="0" xfId="0" applyFont="1" applyFill="1"/>
    <xf numFmtId="0" fontId="68" fillId="0" borderId="15" xfId="0" applyFont="1" applyFill="1" applyBorder="1" applyAlignment="1">
      <alignment horizontal="center"/>
    </xf>
    <xf numFmtId="0" fontId="68" fillId="0" borderId="23" xfId="0" applyFont="1" applyFill="1" applyBorder="1" applyAlignment="1">
      <alignment horizontal="center"/>
    </xf>
    <xf numFmtId="0" fontId="68" fillId="0" borderId="23" xfId="0" applyFont="1" applyFill="1" applyBorder="1"/>
    <xf numFmtId="0" fontId="68" fillId="0" borderId="15" xfId="0" applyFont="1" applyFill="1" applyBorder="1" applyAlignment="1">
      <alignment horizontal="right"/>
    </xf>
    <xf numFmtId="0" fontId="7" fillId="0" borderId="1" xfId="0" applyFont="1" applyFill="1" applyBorder="1" applyAlignment="1"/>
    <xf numFmtId="3" fontId="68" fillId="0" borderId="1" xfId="0" applyNumberFormat="1" applyFont="1" applyFill="1" applyBorder="1"/>
    <xf numFmtId="3" fontId="7" fillId="0" borderId="23" xfId="0" applyNumberFormat="1" applyFont="1" applyFill="1" applyBorder="1"/>
    <xf numFmtId="0" fontId="68" fillId="0" borderId="4" xfId="0" applyFont="1" applyFill="1" applyBorder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8" fillId="0" borderId="0" xfId="0" applyFont="1" applyFill="1" applyBorder="1"/>
    <xf numFmtId="0" fontId="68" fillId="0" borderId="63" xfId="0" applyFont="1" applyFill="1" applyBorder="1" applyAlignment="1">
      <alignment horizontal="right"/>
    </xf>
    <xf numFmtId="0" fontId="7" fillId="0" borderId="59" xfId="0" applyFont="1" applyFill="1" applyBorder="1" applyAlignment="1"/>
    <xf numFmtId="3" fontId="7" fillId="0" borderId="0" xfId="0" applyNumberFormat="1" applyFont="1" applyFill="1" applyBorder="1"/>
    <xf numFmtId="3" fontId="0" fillId="0" borderId="0" xfId="0" applyNumberFormat="1" applyFill="1"/>
    <xf numFmtId="165" fontId="0" fillId="0" borderId="0" xfId="2" applyNumberFormat="1" applyFont="1" applyAlignment="1"/>
    <xf numFmtId="165" fontId="4" fillId="0" borderId="31" xfId="2" applyNumberFormat="1" applyFont="1" applyFill="1" applyBorder="1"/>
    <xf numFmtId="165" fontId="4" fillId="0" borderId="8" xfId="2" applyNumberFormat="1" applyFont="1" applyFill="1" applyBorder="1"/>
    <xf numFmtId="165" fontId="4" fillId="0" borderId="32" xfId="2" applyNumberFormat="1" applyFont="1" applyFill="1" applyBorder="1"/>
    <xf numFmtId="165" fontId="4" fillId="0" borderId="16" xfId="2" applyNumberFormat="1" applyFont="1" applyFill="1" applyBorder="1"/>
    <xf numFmtId="165" fontId="6" fillId="0" borderId="61" xfId="0" applyNumberFormat="1" applyFont="1" applyFill="1" applyBorder="1"/>
    <xf numFmtId="165" fontId="4" fillId="0" borderId="17" xfId="2" applyNumberFormat="1" applyFont="1" applyFill="1" applyBorder="1"/>
    <xf numFmtId="165" fontId="4" fillId="0" borderId="30" xfId="2" applyNumberFormat="1" applyFont="1" applyFill="1" applyBorder="1"/>
    <xf numFmtId="165" fontId="14" fillId="0" borderId="31" xfId="1" applyNumberFormat="1" applyFont="1" applyFill="1" applyBorder="1" applyAlignment="1">
      <alignment horizontal="center" vertical="center"/>
    </xf>
    <xf numFmtId="165" fontId="14" fillId="0" borderId="8" xfId="1" applyNumberFormat="1" applyFont="1" applyFill="1" applyBorder="1" applyAlignment="1">
      <alignment horizontal="center" vertical="center"/>
    </xf>
    <xf numFmtId="3" fontId="8" fillId="0" borderId="67" xfId="0" applyNumberFormat="1" applyFont="1" applyFill="1" applyBorder="1" applyAlignment="1">
      <alignment horizontal="center"/>
    </xf>
    <xf numFmtId="3" fontId="14" fillId="0" borderId="25" xfId="0" applyNumberFormat="1" applyFont="1" applyFill="1" applyBorder="1" applyAlignment="1">
      <alignment horizontal="center"/>
    </xf>
    <xf numFmtId="165" fontId="14" fillId="0" borderId="25" xfId="2" applyNumberFormat="1" applyFont="1" applyFill="1" applyBorder="1"/>
    <xf numFmtId="165" fontId="14" fillId="0" borderId="26" xfId="2" applyNumberFormat="1" applyFont="1" applyFill="1" applyBorder="1"/>
    <xf numFmtId="165" fontId="8" fillId="0" borderId="20" xfId="2" applyNumberFormat="1" applyFont="1" applyFill="1" applyBorder="1"/>
    <xf numFmtId="3" fontId="14" fillId="0" borderId="1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0" fontId="5" fillId="0" borderId="41" xfId="0" applyFont="1" applyFill="1" applyBorder="1" applyAlignment="1">
      <alignment horizontal="left" vertical="center"/>
    </xf>
    <xf numFmtId="165" fontId="14" fillId="0" borderId="8" xfId="1" applyNumberFormat="1" applyFont="1" applyFill="1" applyBorder="1" applyAlignment="1">
      <alignment horizontal="center" vertical="center" wrapText="1"/>
    </xf>
    <xf numFmtId="165" fontId="14" fillId="0" borderId="16" xfId="1" applyNumberFormat="1" applyFont="1" applyFill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/>
    </xf>
    <xf numFmtId="0" fontId="18" fillId="0" borderId="0" xfId="0" applyFont="1" applyFill="1" applyBorder="1"/>
    <xf numFmtId="3" fontId="14" fillId="0" borderId="0" xfId="0" applyNumberFormat="1" applyFont="1" applyFill="1" applyBorder="1" applyAlignment="1"/>
    <xf numFmtId="0" fontId="8" fillId="0" borderId="0" xfId="0" applyFont="1" applyFill="1" applyBorder="1"/>
    <xf numFmtId="0" fontId="8" fillId="0" borderId="0" xfId="0" applyFont="1" applyFill="1" applyBorder="1" applyAlignment="1"/>
    <xf numFmtId="0" fontId="0" fillId="0" borderId="0" xfId="0" applyFont="1" applyFill="1" applyBorder="1"/>
    <xf numFmtId="165" fontId="0" fillId="0" borderId="0" xfId="0" applyNumberFormat="1" applyFill="1"/>
    <xf numFmtId="0" fontId="97" fillId="0" borderId="0" xfId="0" applyFont="1" applyAlignment="1">
      <alignment horizontal="center"/>
    </xf>
    <xf numFmtId="0" fontId="97" fillId="0" borderId="59" xfId="11" applyFont="1" applyFill="1" applyBorder="1" applyAlignment="1" applyProtection="1">
      <alignment horizontal="left" vertical="center" wrapText="1"/>
    </xf>
    <xf numFmtId="0" fontId="97" fillId="0" borderId="17" xfId="11" applyFont="1" applyFill="1" applyBorder="1" applyAlignment="1" applyProtection="1">
      <alignment horizontal="center" vertical="center" wrapText="1"/>
    </xf>
    <xf numFmtId="0" fontId="73" fillId="0" borderId="0" xfId="15" applyFont="1" applyBorder="1"/>
    <xf numFmtId="165" fontId="97" fillId="0" borderId="17" xfId="18" applyNumberFormat="1" applyFont="1" applyFill="1" applyBorder="1" applyAlignment="1" applyProtection="1">
      <alignment horizontal="center" vertical="center" wrapText="1"/>
    </xf>
    <xf numFmtId="49" fontId="97" fillId="0" borderId="97" xfId="18" applyNumberFormat="1" applyFont="1" applyFill="1" applyBorder="1" applyAlignment="1" applyProtection="1">
      <alignment horizontal="center" vertical="center" wrapText="1"/>
    </xf>
    <xf numFmtId="165" fontId="97" fillId="0" borderId="51" xfId="18" applyNumberFormat="1" applyFont="1" applyFill="1" applyBorder="1" applyAlignment="1" applyProtection="1">
      <alignment vertical="center" wrapText="1"/>
    </xf>
    <xf numFmtId="165" fontId="97" fillId="0" borderId="15" xfId="18" applyNumberFormat="1" applyFont="1" applyFill="1" applyBorder="1" applyAlignment="1" applyProtection="1">
      <alignment vertical="center" wrapText="1"/>
    </xf>
    <xf numFmtId="165" fontId="42" fillId="0" borderId="68" xfId="18" applyNumberFormat="1" applyFont="1" applyFill="1" applyBorder="1" applyAlignment="1" applyProtection="1">
      <alignment vertical="center" wrapText="1"/>
    </xf>
    <xf numFmtId="165" fontId="43" fillId="0" borderId="12" xfId="18" applyNumberFormat="1" applyFont="1" applyFill="1" applyBorder="1" applyAlignment="1" applyProtection="1">
      <alignment vertical="center" wrapText="1"/>
      <protection locked="0"/>
    </xf>
    <xf numFmtId="165" fontId="43" fillId="0" borderId="95" xfId="18" applyNumberFormat="1" applyFont="1" applyFill="1" applyBorder="1" applyAlignment="1" applyProtection="1">
      <alignment vertical="center" wrapText="1"/>
      <protection locked="0"/>
    </xf>
    <xf numFmtId="165" fontId="43" fillId="0" borderId="2" xfId="18" applyNumberFormat="1" applyFont="1" applyFill="1" applyBorder="1" applyAlignment="1" applyProtection="1">
      <alignment vertical="center" wrapText="1"/>
      <protection locked="0"/>
    </xf>
    <xf numFmtId="165" fontId="43" fillId="0" borderId="2" xfId="18" applyNumberFormat="1" applyFont="1" applyFill="1" applyBorder="1" applyAlignment="1" applyProtection="1">
      <alignment vertical="center" wrapText="1"/>
    </xf>
    <xf numFmtId="165" fontId="43" fillId="0" borderId="46" xfId="18" applyNumberFormat="1" applyFont="1" applyFill="1" applyBorder="1" applyAlignment="1" applyProtection="1">
      <alignment vertical="center" wrapText="1"/>
      <protection locked="0"/>
    </xf>
    <xf numFmtId="165" fontId="42" fillId="0" borderId="2" xfId="18" applyNumberFormat="1" applyFont="1" applyFill="1" applyBorder="1" applyAlignment="1" applyProtection="1">
      <alignment vertical="center" wrapText="1"/>
      <protection locked="0"/>
    </xf>
    <xf numFmtId="165" fontId="42" fillId="0" borderId="2" xfId="18" applyNumberFormat="1" applyFont="1" applyFill="1" applyBorder="1" applyAlignment="1" applyProtection="1">
      <alignment vertical="center" wrapText="1"/>
    </xf>
    <xf numFmtId="165" fontId="42" fillId="0" borderId="46" xfId="18" applyNumberFormat="1" applyFont="1" applyFill="1" applyBorder="1" applyAlignment="1" applyProtection="1">
      <alignment vertical="center" wrapText="1"/>
      <protection locked="0"/>
    </xf>
    <xf numFmtId="165" fontId="24" fillId="0" borderId="2" xfId="18" applyNumberFormat="1" applyFont="1" applyFill="1" applyBorder="1" applyAlignment="1" applyProtection="1">
      <alignment vertical="center" wrapText="1"/>
    </xf>
    <xf numFmtId="165" fontId="24" fillId="0" borderId="46" xfId="18" applyNumberFormat="1" applyFont="1" applyFill="1" applyBorder="1" applyAlignment="1" applyProtection="1">
      <alignment vertical="center" wrapText="1"/>
    </xf>
    <xf numFmtId="165" fontId="43" fillId="0" borderId="29" xfId="18" applyNumberFormat="1" applyFont="1" applyFill="1" applyBorder="1" applyAlignment="1" applyProtection="1">
      <alignment vertical="center" wrapText="1"/>
      <protection locked="0"/>
    </xf>
    <xf numFmtId="165" fontId="97" fillId="0" borderId="1" xfId="18" applyNumberFormat="1" applyFont="1" applyFill="1" applyBorder="1" applyAlignment="1" applyProtection="1">
      <alignment vertical="center" wrapText="1"/>
    </xf>
    <xf numFmtId="165" fontId="97" fillId="0" borderId="14" xfId="18" applyNumberFormat="1" applyFont="1" applyFill="1" applyBorder="1" applyAlignment="1" applyProtection="1">
      <alignment vertical="center" wrapText="1"/>
    </xf>
    <xf numFmtId="0" fontId="40" fillId="0" borderId="41" xfId="11" applyFont="1" applyFill="1" applyBorder="1" applyAlignment="1" applyProtection="1">
      <alignment horizontal="left" vertical="center" wrapText="1" indent="1"/>
    </xf>
    <xf numFmtId="165" fontId="40" fillId="0" borderId="14" xfId="18" applyNumberFormat="1" applyFont="1" applyFill="1" applyBorder="1" applyAlignment="1" applyProtection="1">
      <alignment vertical="center" wrapText="1"/>
    </xf>
    <xf numFmtId="165" fontId="42" fillId="0" borderId="1" xfId="18" applyNumberFormat="1" applyFont="1" applyFill="1" applyBorder="1" applyAlignment="1" applyProtection="1">
      <alignment vertical="center" wrapText="1"/>
    </xf>
    <xf numFmtId="165" fontId="42" fillId="0" borderId="14" xfId="18" applyNumberFormat="1" applyFont="1" applyFill="1" applyBorder="1" applyAlignment="1" applyProtection="1">
      <alignment vertical="center" wrapText="1"/>
    </xf>
    <xf numFmtId="165" fontId="42" fillId="0" borderId="12" xfId="18" applyNumberFormat="1" applyFont="1" applyFill="1" applyBorder="1" applyAlignment="1" applyProtection="1">
      <alignment vertical="center" wrapText="1"/>
    </xf>
    <xf numFmtId="165" fontId="97" fillId="0" borderId="68" xfId="18" applyNumberFormat="1" applyFont="1" applyFill="1" applyBorder="1" applyAlignment="1" applyProtection="1">
      <alignment vertical="center" wrapText="1"/>
      <protection locked="0"/>
    </xf>
    <xf numFmtId="165" fontId="97" fillId="0" borderId="68" xfId="18" applyNumberFormat="1" applyFont="1" applyFill="1" applyBorder="1" applyAlignment="1" applyProtection="1">
      <alignment vertical="center" wrapText="1"/>
    </xf>
    <xf numFmtId="165" fontId="97" fillId="0" borderId="44" xfId="18" applyNumberFormat="1" applyFont="1" applyFill="1" applyBorder="1" applyAlignment="1" applyProtection="1">
      <alignment vertical="center" wrapText="1"/>
      <protection locked="0"/>
    </xf>
    <xf numFmtId="165" fontId="97" fillId="0" borderId="2" xfId="18" applyNumberFormat="1" applyFont="1" applyFill="1" applyBorder="1" applyAlignment="1" applyProtection="1">
      <alignment vertical="center" wrapText="1"/>
      <protection locked="0"/>
    </xf>
    <xf numFmtId="165" fontId="97" fillId="0" borderId="2" xfId="18" applyNumberFormat="1" applyFont="1" applyFill="1" applyBorder="1" applyAlignment="1" applyProtection="1">
      <alignment vertical="center" wrapText="1"/>
    </xf>
    <xf numFmtId="165" fontId="97" fillId="0" borderId="46" xfId="18" applyNumberFormat="1" applyFont="1" applyFill="1" applyBorder="1" applyAlignment="1" applyProtection="1">
      <alignment vertical="center" wrapText="1"/>
      <protection locked="0"/>
    </xf>
    <xf numFmtId="165" fontId="97" fillId="0" borderId="3" xfId="18" applyNumberFormat="1" applyFont="1" applyFill="1" applyBorder="1" applyAlignment="1" applyProtection="1">
      <alignment vertical="center" wrapText="1"/>
    </xf>
    <xf numFmtId="165" fontId="43" fillId="0" borderId="1" xfId="18" applyNumberFormat="1" applyFont="1" applyFill="1" applyBorder="1" applyAlignment="1" applyProtection="1">
      <alignment vertical="center" wrapText="1"/>
      <protection locked="0"/>
    </xf>
    <xf numFmtId="165" fontId="43" fillId="0" borderId="1" xfId="18" applyNumberFormat="1" applyFont="1" applyFill="1" applyBorder="1" applyAlignment="1" applyProtection="1">
      <alignment vertical="center" wrapText="1"/>
    </xf>
    <xf numFmtId="165" fontId="43" fillId="0" borderId="14" xfId="18" applyNumberFormat="1" applyFont="1" applyFill="1" applyBorder="1" applyAlignment="1" applyProtection="1">
      <alignment vertical="center" wrapText="1"/>
      <protection locked="0"/>
    </xf>
    <xf numFmtId="165" fontId="43" fillId="0" borderId="14" xfId="18" applyNumberFormat="1" applyFont="1" applyFill="1" applyBorder="1" applyAlignment="1" applyProtection="1">
      <alignment vertical="center" wrapText="1"/>
    </xf>
    <xf numFmtId="165" fontId="99" fillId="0" borderId="1" xfId="18" applyNumberFormat="1" applyFont="1" applyFill="1" applyBorder="1" applyAlignment="1"/>
    <xf numFmtId="165" fontId="99" fillId="0" borderId="14" xfId="18" applyNumberFormat="1" applyFont="1" applyFill="1" applyBorder="1" applyAlignment="1"/>
    <xf numFmtId="165" fontId="34" fillId="0" borderId="1" xfId="18" applyNumberFormat="1" applyFont="1" applyFill="1" applyBorder="1" applyAlignment="1" applyProtection="1">
      <alignment vertical="center" wrapText="1"/>
    </xf>
    <xf numFmtId="165" fontId="43" fillId="0" borderId="1" xfId="18" applyNumberFormat="1" applyFont="1" applyFill="1" applyBorder="1" applyAlignment="1" applyProtection="1">
      <alignment horizontal="center" vertical="center" wrapText="1"/>
    </xf>
    <xf numFmtId="165" fontId="43" fillId="0" borderId="14" xfId="18" applyNumberFormat="1" applyFont="1" applyFill="1" applyBorder="1" applyAlignment="1" applyProtection="1">
      <alignment horizontal="center" vertical="center" wrapText="1"/>
    </xf>
    <xf numFmtId="165" fontId="28" fillId="0" borderId="0" xfId="18" applyNumberFormat="1" applyFont="1"/>
    <xf numFmtId="0" fontId="43" fillId="0" borderId="59" xfId="11" applyFont="1" applyFill="1" applyBorder="1" applyAlignment="1" applyProtection="1">
      <alignment horizontal="left" vertical="center"/>
    </xf>
    <xf numFmtId="165" fontId="34" fillId="0" borderId="0" xfId="18" applyNumberFormat="1" applyFont="1" applyFill="1" applyBorder="1" applyAlignment="1" applyProtection="1"/>
    <xf numFmtId="49" fontId="97" fillId="0" borderId="13" xfId="18" applyNumberFormat="1" applyFont="1" applyFill="1" applyBorder="1" applyAlignment="1" applyProtection="1">
      <alignment horizontal="center" vertical="center" wrapText="1"/>
    </xf>
    <xf numFmtId="165" fontId="97" fillId="0" borderId="4" xfId="18" applyNumberFormat="1" applyFont="1" applyFill="1" applyBorder="1" applyAlignment="1" applyProtection="1">
      <alignment vertical="center" wrapText="1"/>
    </xf>
    <xf numFmtId="165" fontId="43" fillId="0" borderId="44" xfId="18" applyNumberFormat="1" applyFont="1" applyFill="1" applyBorder="1" applyAlignment="1" applyProtection="1">
      <alignment vertical="center" wrapText="1"/>
    </xf>
    <xf numFmtId="165" fontId="43" fillId="0" borderId="47" xfId="18" applyNumberFormat="1" applyFont="1" applyFill="1" applyBorder="1" applyAlignment="1" applyProtection="1">
      <alignment vertical="center" wrapText="1"/>
    </xf>
    <xf numFmtId="165" fontId="97" fillId="0" borderId="59" xfId="18" applyNumberFormat="1" applyFont="1" applyFill="1" applyBorder="1" applyAlignment="1" applyProtection="1">
      <alignment vertical="center" wrapText="1"/>
    </xf>
    <xf numFmtId="165" fontId="97" fillId="0" borderId="1" xfId="18" applyNumberFormat="1" applyFont="1" applyFill="1" applyBorder="1" applyAlignment="1" applyProtection="1"/>
    <xf numFmtId="165" fontId="97" fillId="0" borderId="1" xfId="18" applyNumberFormat="1" applyFont="1" applyFill="1" applyBorder="1" applyAlignment="1" applyProtection="1">
      <alignment horizontal="left" indent="1"/>
    </xf>
    <xf numFmtId="165" fontId="34" fillId="0" borderId="2" xfId="18" applyNumberFormat="1" applyFont="1" applyFill="1" applyBorder="1" applyAlignment="1" applyProtection="1">
      <alignment horizontal="center"/>
    </xf>
    <xf numFmtId="165" fontId="34" fillId="0" borderId="2" xfId="18" applyNumberFormat="1" applyFont="1" applyFill="1" applyBorder="1" applyAlignment="1" applyProtection="1"/>
    <xf numFmtId="165" fontId="34" fillId="0" borderId="62" xfId="18" applyNumberFormat="1" applyFont="1" applyFill="1" applyBorder="1" applyAlignment="1" applyProtection="1"/>
    <xf numFmtId="165" fontId="43" fillId="0" borderId="2" xfId="18" applyNumberFormat="1" applyFont="1" applyFill="1" applyBorder="1" applyAlignment="1" applyProtection="1"/>
    <xf numFmtId="165" fontId="43" fillId="0" borderId="29" xfId="18" applyNumberFormat="1" applyFont="1" applyFill="1" applyBorder="1" applyAlignment="1" applyProtection="1"/>
    <xf numFmtId="165" fontId="97" fillId="0" borderId="35" xfId="18" applyNumberFormat="1" applyFont="1" applyFill="1" applyBorder="1" applyAlignment="1" applyProtection="1">
      <alignment vertical="center" wrapText="1"/>
    </xf>
    <xf numFmtId="165" fontId="43" fillId="0" borderId="68" xfId="18" applyNumberFormat="1" applyFont="1" applyFill="1" applyBorder="1" applyAlignment="1" applyProtection="1">
      <alignment vertical="center" wrapText="1"/>
    </xf>
    <xf numFmtId="165" fontId="43" fillId="0" borderId="29" xfId="18" applyNumberFormat="1" applyFont="1" applyFill="1" applyBorder="1" applyAlignment="1" applyProtection="1">
      <alignment vertical="center" wrapText="1"/>
    </xf>
    <xf numFmtId="164" fontId="28" fillId="0" borderId="0" xfId="0" applyNumberFormat="1" applyFont="1" applyFill="1" applyAlignment="1"/>
    <xf numFmtId="165" fontId="4" fillId="5" borderId="0" xfId="1" applyNumberFormat="1" applyFont="1" applyFill="1"/>
    <xf numFmtId="165" fontId="4" fillId="0" borderId="0" xfId="18" applyNumberFormat="1" applyFont="1" applyFill="1" applyAlignment="1"/>
    <xf numFmtId="165" fontId="14" fillId="2" borderId="0" xfId="19" applyNumberFormat="1" applyFont="1" applyFill="1"/>
    <xf numFmtId="165" fontId="14" fillId="0" borderId="0" xfId="19" applyNumberFormat="1" applyFont="1" applyFill="1"/>
    <xf numFmtId="0" fontId="62" fillId="0" borderId="0" xfId="15" applyFont="1" applyAlignment="1"/>
    <xf numFmtId="165" fontId="53" fillId="2" borderId="0" xfId="19" applyNumberFormat="1" applyFont="1" applyFill="1"/>
    <xf numFmtId="165" fontId="68" fillId="2" borderId="67" xfId="19" applyNumberFormat="1" applyFont="1" applyFill="1" applyBorder="1" applyAlignment="1">
      <alignment horizontal="center" vertical="center" wrapText="1"/>
    </xf>
    <xf numFmtId="0" fontId="85" fillId="2" borderId="56" xfId="19" applyNumberFormat="1" applyFont="1" applyFill="1" applyBorder="1" applyAlignment="1">
      <alignment horizontal="center"/>
    </xf>
    <xf numFmtId="165" fontId="44" fillId="2" borderId="91" xfId="19" applyNumberFormat="1" applyFont="1" applyFill="1" applyBorder="1"/>
    <xf numFmtId="165" fontId="96" fillId="2" borderId="65" xfId="19" applyNumberFormat="1" applyFont="1" applyFill="1" applyBorder="1"/>
    <xf numFmtId="165" fontId="19" fillId="2" borderId="65" xfId="19" applyNumberFormat="1" applyFont="1" applyFill="1" applyBorder="1"/>
    <xf numFmtId="165" fontId="19" fillId="2" borderId="16" xfId="19" applyNumberFormat="1" applyFont="1" applyFill="1" applyBorder="1"/>
    <xf numFmtId="165" fontId="19" fillId="2" borderId="30" xfId="19" applyNumberFormat="1" applyFont="1" applyFill="1" applyBorder="1"/>
    <xf numFmtId="165" fontId="4" fillId="5" borderId="0" xfId="19" applyNumberFormat="1" applyFont="1" applyFill="1"/>
    <xf numFmtId="165" fontId="0" fillId="0" borderId="0" xfId="19" applyNumberFormat="1" applyFont="1"/>
    <xf numFmtId="165" fontId="91" fillId="0" borderId="8" xfId="19" applyNumberFormat="1" applyFont="1" applyBorder="1" applyAlignment="1" applyProtection="1">
      <alignment horizontal="center" vertical="center" wrapText="1"/>
      <protection locked="0"/>
    </xf>
    <xf numFmtId="165" fontId="50" fillId="0" borderId="8" xfId="19" applyNumberFormat="1" applyFont="1" applyBorder="1"/>
    <xf numFmtId="170" fontId="91" fillId="0" borderId="8" xfId="20" applyNumberFormat="1" applyFont="1" applyBorder="1" applyAlignment="1" applyProtection="1">
      <alignment horizontal="center" vertical="center" wrapText="1"/>
      <protection locked="0"/>
    </xf>
    <xf numFmtId="9" fontId="91" fillId="0" borderId="8" xfId="20" applyFont="1" applyBorder="1" applyAlignment="1" applyProtection="1">
      <alignment horizontal="center" vertical="center" wrapText="1"/>
      <protection locked="0"/>
    </xf>
    <xf numFmtId="165" fontId="89" fillId="0" borderId="19" xfId="19" applyNumberFormat="1" applyFont="1" applyBorder="1" applyAlignment="1" applyProtection="1">
      <alignment horizontal="center" vertical="center" wrapText="1"/>
    </xf>
    <xf numFmtId="165" fontId="51" fillId="0" borderId="19" xfId="19" applyNumberFormat="1" applyFont="1" applyBorder="1"/>
    <xf numFmtId="171" fontId="18" fillId="2" borderId="56" xfId="19" applyNumberFormat="1" applyFont="1" applyFill="1" applyBorder="1"/>
    <xf numFmtId="172" fontId="19" fillId="2" borderId="53" xfId="19" applyNumberFormat="1" applyFont="1" applyFill="1" applyBorder="1"/>
    <xf numFmtId="3" fontId="40" fillId="0" borderId="32" xfId="0" applyNumberFormat="1" applyFont="1" applyFill="1" applyBorder="1"/>
    <xf numFmtId="3" fontId="60" fillId="0" borderId="95" xfId="0" applyNumberFormat="1" applyFont="1" applyBorder="1"/>
    <xf numFmtId="3" fontId="7" fillId="0" borderId="68" xfId="0" applyNumberFormat="1" applyFont="1" applyFill="1" applyBorder="1" applyAlignment="1"/>
    <xf numFmtId="171" fontId="19" fillId="2" borderId="65" xfId="19" applyNumberFormat="1" applyFont="1" applyFill="1" applyBorder="1"/>
    <xf numFmtId="171" fontId="19" fillId="2" borderId="16" xfId="19" applyNumberFormat="1" applyFont="1" applyFill="1" applyBorder="1"/>
    <xf numFmtId="171" fontId="19" fillId="2" borderId="53" xfId="19" applyNumberFormat="1" applyFont="1" applyFill="1" applyBorder="1"/>
    <xf numFmtId="172" fontId="19" fillId="2" borderId="16" xfId="19" applyNumberFormat="1" applyFont="1" applyFill="1" applyBorder="1" applyAlignment="1">
      <alignment horizontal="right"/>
    </xf>
    <xf numFmtId="165" fontId="0" fillId="0" borderId="0" xfId="1" applyNumberFormat="1" applyFont="1" applyFill="1"/>
    <xf numFmtId="0" fontId="21" fillId="0" borderId="0" xfId="0" applyFont="1" applyAlignment="1"/>
    <xf numFmtId="0" fontId="47" fillId="0" borderId="57" xfId="0" applyFont="1" applyBorder="1" applyAlignment="1">
      <alignment horizontal="left" vertical="center" wrapText="1"/>
    </xf>
    <xf numFmtId="0" fontId="47" fillId="0" borderId="25" xfId="0" applyFont="1" applyBorder="1" applyAlignment="1">
      <alignment horizontal="left" vertical="center" wrapText="1"/>
    </xf>
    <xf numFmtId="165" fontId="0" fillId="0" borderId="42" xfId="0" applyNumberFormat="1" applyBorder="1"/>
    <xf numFmtId="165" fontId="0" fillId="0" borderId="45" xfId="0" applyNumberFormat="1" applyBorder="1"/>
    <xf numFmtId="165" fontId="15" fillId="0" borderId="45" xfId="0" applyNumberFormat="1" applyFont="1" applyBorder="1" applyAlignment="1">
      <alignment horizontal="center" vertical="center" wrapText="1"/>
    </xf>
    <xf numFmtId="165" fontId="0" fillId="0" borderId="8" xfId="0" applyNumberFormat="1" applyFont="1" applyFill="1" applyBorder="1"/>
    <xf numFmtId="0" fontId="47" fillId="0" borderId="42" xfId="0" applyFont="1" applyFill="1" applyBorder="1" applyAlignment="1">
      <alignment horizontal="left" vertical="center" wrapText="1"/>
    </xf>
    <xf numFmtId="165" fontId="0" fillId="0" borderId="31" xfId="0" applyNumberFormat="1" applyFont="1" applyFill="1" applyBorder="1"/>
    <xf numFmtId="0" fontId="47" fillId="0" borderId="45" xfId="0" applyFont="1" applyFill="1" applyBorder="1" applyAlignment="1">
      <alignment horizontal="left" vertical="center" wrapText="1"/>
    </xf>
    <xf numFmtId="0" fontId="48" fillId="0" borderId="48" xfId="0" applyFont="1" applyFill="1" applyBorder="1" applyAlignment="1">
      <alignment horizontal="left" vertical="center"/>
    </xf>
    <xf numFmtId="165" fontId="6" fillId="0" borderId="17" xfId="0" applyNumberFormat="1" applyFont="1" applyFill="1" applyBorder="1"/>
    <xf numFmtId="165" fontId="6" fillId="0" borderId="11" xfId="0" applyNumberFormat="1" applyFont="1" applyFill="1" applyBorder="1"/>
    <xf numFmtId="165" fontId="0" fillId="0" borderId="42" xfId="0" applyNumberFormat="1" applyFill="1" applyBorder="1"/>
    <xf numFmtId="165" fontId="0" fillId="0" borderId="45" xfId="0" applyNumberFormat="1" applyFill="1" applyBorder="1"/>
    <xf numFmtId="165" fontId="14" fillId="0" borderId="45" xfId="0" applyNumberFormat="1" applyFont="1" applyFill="1" applyBorder="1" applyAlignment="1">
      <alignment horizontal="center" vertical="center" wrapText="1"/>
    </xf>
    <xf numFmtId="165" fontId="15" fillId="0" borderId="45" xfId="0" applyNumberFormat="1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left" vertical="center"/>
    </xf>
    <xf numFmtId="165" fontId="6" fillId="0" borderId="42" xfId="0" applyNumberFormat="1" applyFont="1" applyFill="1" applyBorder="1"/>
    <xf numFmtId="165" fontId="14" fillId="0" borderId="16" xfId="1" applyNumberFormat="1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left" vertical="center" wrapText="1"/>
    </xf>
    <xf numFmtId="165" fontId="14" fillId="0" borderId="17" xfId="1" applyNumberFormat="1" applyFont="1" applyFill="1" applyBorder="1" applyAlignment="1">
      <alignment horizontal="center" vertical="center" wrapText="1"/>
    </xf>
    <xf numFmtId="165" fontId="14" fillId="0" borderId="30" xfId="1" applyNumberFormat="1" applyFont="1" applyFill="1" applyBorder="1" applyAlignment="1">
      <alignment horizontal="center" vertical="center" wrapText="1"/>
    </xf>
    <xf numFmtId="165" fontId="8" fillId="0" borderId="33" xfId="2" applyNumberFormat="1" applyFont="1" applyFill="1" applyBorder="1"/>
    <xf numFmtId="0" fontId="15" fillId="0" borderId="7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165" fontId="8" fillId="0" borderId="42" xfId="1" applyNumberFormat="1" applyFont="1" applyBorder="1"/>
    <xf numFmtId="165" fontId="8" fillId="0" borderId="19" xfId="1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left" vertical="center"/>
    </xf>
    <xf numFmtId="3" fontId="14" fillId="0" borderId="22" xfId="0" applyNumberFormat="1" applyFont="1" applyFill="1" applyBorder="1" applyAlignment="1">
      <alignment horizontal="center"/>
    </xf>
    <xf numFmtId="3" fontId="14" fillId="0" borderId="65" xfId="0" applyNumberFormat="1" applyFont="1" applyFill="1" applyBorder="1" applyAlignment="1">
      <alignment horizontal="center"/>
    </xf>
    <xf numFmtId="165" fontId="8" fillId="0" borderId="11" xfId="2" applyNumberFormat="1" applyFont="1" applyFill="1" applyBorder="1"/>
    <xf numFmtId="165" fontId="8" fillId="0" borderId="55" xfId="2" applyNumberFormat="1" applyFont="1" applyFill="1" applyBorder="1"/>
    <xf numFmtId="165" fontId="14" fillId="0" borderId="31" xfId="1" applyNumberFormat="1" applyFont="1" applyFill="1" applyBorder="1" applyAlignment="1">
      <alignment horizontal="center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4" fillId="0" borderId="65" xfId="1" applyNumberFormat="1" applyFont="1" applyFill="1" applyBorder="1" applyAlignment="1">
      <alignment horizontal="center" vertical="center" wrapText="1"/>
    </xf>
    <xf numFmtId="0" fontId="15" fillId="0" borderId="89" xfId="0" applyFont="1" applyFill="1" applyBorder="1" applyAlignment="1">
      <alignment horizontal="left" vertical="center" wrapText="1"/>
    </xf>
    <xf numFmtId="3" fontId="8" fillId="0" borderId="23" xfId="0" applyNumberFormat="1" applyFont="1" applyFill="1" applyBorder="1" applyAlignment="1">
      <alignment horizontal="center"/>
    </xf>
    <xf numFmtId="3" fontId="8" fillId="0" borderId="35" xfId="0" applyNumberFormat="1" applyFont="1" applyFill="1" applyBorder="1" applyAlignment="1">
      <alignment horizontal="center"/>
    </xf>
    <xf numFmtId="3" fontId="8" fillId="0" borderId="34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center"/>
    </xf>
    <xf numFmtId="3" fontId="8" fillId="2" borderId="54" xfId="0" applyNumberFormat="1" applyFont="1" applyFill="1" applyBorder="1" applyAlignment="1">
      <alignment horizontal="center"/>
    </xf>
    <xf numFmtId="3" fontId="8" fillId="2" borderId="15" xfId="0" applyNumberFormat="1" applyFont="1" applyFill="1" applyBorder="1" applyAlignment="1">
      <alignment horizontal="center"/>
    </xf>
    <xf numFmtId="3" fontId="19" fillId="2" borderId="32" xfId="0" applyNumberFormat="1" applyFont="1" applyFill="1" applyBorder="1" applyAlignment="1">
      <alignment horizontal="center"/>
    </xf>
    <xf numFmtId="3" fontId="19" fillId="2" borderId="16" xfId="0" applyNumberFormat="1" applyFont="1" applyFill="1" applyBorder="1" applyAlignment="1">
      <alignment horizontal="center"/>
    </xf>
    <xf numFmtId="0" fontId="60" fillId="0" borderId="0" xfId="23" applyFont="1"/>
    <xf numFmtId="0" fontId="4" fillId="0" borderId="0" xfId="23"/>
    <xf numFmtId="165" fontId="60" fillId="0" borderId="0" xfId="19" applyNumberFormat="1" applyFont="1"/>
    <xf numFmtId="0" fontId="60" fillId="0" borderId="0" xfId="23" applyFont="1" applyAlignment="1"/>
    <xf numFmtId="0" fontId="67" fillId="0" borderId="55" xfId="23" applyFont="1" applyBorder="1" applyAlignment="1">
      <alignment wrapText="1"/>
    </xf>
    <xf numFmtId="0" fontId="67" fillId="0" borderId="19" xfId="23" applyFont="1" applyBorder="1" applyAlignment="1">
      <alignment wrapText="1"/>
    </xf>
    <xf numFmtId="165" fontId="67" fillId="0" borderId="19" xfId="19" applyNumberFormat="1" applyFont="1" applyBorder="1" applyAlignment="1">
      <alignment wrapText="1"/>
    </xf>
    <xf numFmtId="165" fontId="67" fillId="0" borderId="56" xfId="19" applyNumberFormat="1" applyFont="1" applyBorder="1" applyAlignment="1">
      <alignment wrapText="1"/>
    </xf>
    <xf numFmtId="0" fontId="60" fillId="0" borderId="55" xfId="23" applyFont="1" applyBorder="1" applyAlignment="1">
      <alignment horizontal="center"/>
    </xf>
    <xf numFmtId="0" fontId="60" fillId="0" borderId="19" xfId="23" applyFont="1" applyBorder="1" applyAlignment="1">
      <alignment horizontal="center"/>
    </xf>
    <xf numFmtId="0" fontId="60" fillId="0" borderId="19" xfId="19" applyNumberFormat="1" applyFont="1" applyBorder="1" applyAlignment="1">
      <alignment horizontal="center"/>
    </xf>
    <xf numFmtId="0" fontId="60" fillId="0" borderId="56" xfId="19" applyNumberFormat="1" applyFont="1" applyBorder="1" applyAlignment="1">
      <alignment horizontal="center"/>
    </xf>
    <xf numFmtId="0" fontId="60" fillId="0" borderId="89" xfId="23" applyFont="1" applyBorder="1" applyAlignment="1">
      <alignment horizontal="center"/>
    </xf>
    <xf numFmtId="0" fontId="60" fillId="0" borderId="22" xfId="23" applyFont="1" applyBorder="1"/>
    <xf numFmtId="165" fontId="60" fillId="0" borderId="22" xfId="19" applyNumberFormat="1" applyFont="1" applyBorder="1"/>
    <xf numFmtId="165" fontId="60" fillId="0" borderId="65" xfId="19" applyNumberFormat="1" applyFont="1" applyBorder="1"/>
    <xf numFmtId="0" fontId="60" fillId="0" borderId="45" xfId="23" applyFont="1" applyBorder="1" applyAlignment="1">
      <alignment horizontal="center"/>
    </xf>
    <xf numFmtId="0" fontId="60" fillId="0" borderId="8" xfId="23" applyFont="1" applyBorder="1"/>
    <xf numFmtId="165" fontId="60" fillId="0" borderId="8" xfId="19" applyNumberFormat="1" applyFont="1" applyBorder="1"/>
    <xf numFmtId="165" fontId="60" fillId="0" borderId="16" xfId="19" applyNumberFormat="1" applyFont="1" applyBorder="1"/>
    <xf numFmtId="0" fontId="68" fillId="0" borderId="45" xfId="23" applyFont="1" applyBorder="1" applyAlignment="1">
      <alignment horizontal="center"/>
    </xf>
    <xf numFmtId="0" fontId="68" fillId="0" borderId="8" xfId="23" applyFont="1" applyBorder="1" applyAlignment="1">
      <alignment wrapText="1"/>
    </xf>
    <xf numFmtId="165" fontId="68" fillId="0" borderId="8" xfId="19" applyNumberFormat="1" applyFont="1" applyBorder="1"/>
    <xf numFmtId="165" fontId="68" fillId="0" borderId="16" xfId="19" applyNumberFormat="1" applyFont="1" applyBorder="1"/>
    <xf numFmtId="0" fontId="69" fillId="0" borderId="0" xfId="23" applyFont="1"/>
    <xf numFmtId="0" fontId="69" fillId="0" borderId="45" xfId="23" applyFont="1" applyBorder="1" applyAlignment="1">
      <alignment horizontal="center"/>
    </xf>
    <xf numFmtId="0" fontId="69" fillId="0" borderId="8" xfId="23" applyFont="1" applyBorder="1" applyAlignment="1">
      <alignment wrapText="1"/>
    </xf>
    <xf numFmtId="165" fontId="69" fillId="0" borderId="8" xfId="19" applyNumberFormat="1" applyFont="1" applyBorder="1"/>
    <xf numFmtId="0" fontId="6" fillId="0" borderId="0" xfId="23" applyFont="1"/>
    <xf numFmtId="0" fontId="4" fillId="0" borderId="0" xfId="23" applyFont="1"/>
    <xf numFmtId="0" fontId="68" fillId="0" borderId="8" xfId="23" applyFont="1" applyBorder="1"/>
    <xf numFmtId="0" fontId="60" fillId="0" borderId="8" xfId="23" applyFont="1" applyBorder="1" applyAlignment="1">
      <alignment wrapText="1"/>
    </xf>
    <xf numFmtId="0" fontId="67" fillId="0" borderId="0" xfId="23" applyFont="1"/>
    <xf numFmtId="0" fontId="67" fillId="0" borderId="48" xfId="23" applyFont="1" applyBorder="1" applyAlignment="1">
      <alignment horizontal="center"/>
    </xf>
    <xf numFmtId="0" fontId="67" fillId="0" borderId="17" xfId="23" applyFont="1" applyBorder="1"/>
    <xf numFmtId="165" fontId="67" fillId="0" borderId="17" xfId="19" applyNumberFormat="1" applyFont="1" applyBorder="1"/>
    <xf numFmtId="0" fontId="30" fillId="0" borderId="0" xfId="23" applyFont="1"/>
    <xf numFmtId="49" fontId="7" fillId="0" borderId="45" xfId="23" applyNumberFormat="1" applyFont="1" applyBorder="1" applyAlignment="1">
      <alignment horizontal="center"/>
    </xf>
    <xf numFmtId="0" fontId="7" fillId="0" borderId="8" xfId="23" applyFont="1" applyBorder="1" applyAlignment="1">
      <alignment wrapText="1"/>
    </xf>
    <xf numFmtId="165" fontId="7" fillId="0" borderId="8" xfId="19" applyNumberFormat="1" applyFont="1" applyBorder="1"/>
    <xf numFmtId="165" fontId="7" fillId="0" borderId="16" xfId="19" applyNumberFormat="1" applyFont="1" applyBorder="1"/>
    <xf numFmtId="3" fontId="7" fillId="0" borderId="68" xfId="0" applyNumberFormat="1" applyFont="1" applyBorder="1" applyAlignment="1"/>
    <xf numFmtId="3" fontId="7" fillId="0" borderId="2" xfId="0" applyNumberFormat="1" applyFont="1" applyBorder="1" applyAlignment="1"/>
    <xf numFmtId="0" fontId="0" fillId="0" borderId="2" xfId="0" applyBorder="1" applyAlignment="1"/>
    <xf numFmtId="0" fontId="15" fillId="0" borderId="0" xfId="15" applyFont="1" applyAlignment="1">
      <alignment horizontal="center" wrapText="1"/>
    </xf>
    <xf numFmtId="0" fontId="51" fillId="0" borderId="0" xfId="13" applyFont="1" applyFill="1" applyAlignment="1">
      <alignment horizontal="center" vertical="center" wrapText="1"/>
    </xf>
    <xf numFmtId="0" fontId="85" fillId="0" borderId="41" xfId="13" applyFont="1" applyFill="1" applyBorder="1" applyAlignment="1">
      <alignment horizontal="left"/>
    </xf>
    <xf numFmtId="0" fontId="85" fillId="0" borderId="27" xfId="13" applyFont="1" applyFill="1" applyBorder="1" applyAlignment="1">
      <alignment horizontal="left"/>
    </xf>
    <xf numFmtId="0" fontId="92" fillId="0" borderId="98" xfId="13" applyFont="1" applyFill="1" applyBorder="1" applyAlignment="1" applyProtection="1">
      <alignment horizontal="center" vertical="center" wrapText="1"/>
    </xf>
    <xf numFmtId="0" fontId="92" fillId="0" borderId="90" xfId="13" applyFont="1" applyFill="1" applyBorder="1" applyAlignment="1" applyProtection="1">
      <alignment horizontal="center" vertical="center" wrapText="1"/>
    </xf>
    <xf numFmtId="0" fontId="81" fillId="0" borderId="38" xfId="12" applyFont="1" applyFill="1" applyBorder="1" applyAlignment="1" applyProtection="1">
      <alignment horizontal="center" vertical="center" textRotation="90"/>
    </xf>
    <xf numFmtId="0" fontId="81" fillId="0" borderId="97" xfId="12" applyFont="1" applyFill="1" applyBorder="1" applyAlignment="1" applyProtection="1">
      <alignment horizontal="center" vertical="center" textRotation="90"/>
    </xf>
    <xf numFmtId="0" fontId="81" fillId="0" borderId="18" xfId="12" applyFont="1" applyFill="1" applyBorder="1" applyAlignment="1" applyProtection="1">
      <alignment horizontal="center" vertical="center" textRotation="91"/>
    </xf>
    <xf numFmtId="0" fontId="81" fillId="0" borderId="64" xfId="12" applyFont="1" applyFill="1" applyBorder="1" applyAlignment="1" applyProtection="1">
      <alignment horizontal="center" vertical="center" textRotation="91"/>
    </xf>
    <xf numFmtId="0" fontId="2" fillId="0" borderId="0" xfId="24"/>
    <xf numFmtId="0" fontId="102" fillId="0" borderId="8" xfId="24" applyFont="1" applyBorder="1" applyAlignment="1">
      <alignment horizontal="center" vertical="center" wrapText="1"/>
    </xf>
    <xf numFmtId="0" fontId="101" fillId="0" borderId="8" xfId="24" applyFont="1" applyBorder="1" applyAlignment="1">
      <alignment horizontal="center" vertical="center" wrapText="1"/>
    </xf>
    <xf numFmtId="0" fontId="102" fillId="0" borderId="0" xfId="24" applyFont="1" applyAlignment="1">
      <alignment horizontal="center" vertical="center" wrapText="1"/>
    </xf>
    <xf numFmtId="0" fontId="2" fillId="0" borderId="8" xfId="24" applyBorder="1" applyAlignment="1">
      <alignment horizontal="center" vertical="center"/>
    </xf>
    <xf numFmtId="0" fontId="104" fillId="0" borderId="8" xfId="24" applyFont="1" applyBorder="1" applyAlignment="1">
      <alignment horizontal="center" vertical="center" wrapText="1"/>
    </xf>
    <xf numFmtId="165" fontId="0" fillId="0" borderId="8" xfId="25" applyNumberFormat="1" applyFont="1" applyBorder="1" applyAlignment="1">
      <alignment horizontal="center" vertical="center"/>
    </xf>
    <xf numFmtId="165" fontId="101" fillId="0" borderId="8" xfId="25" applyNumberFormat="1" applyFont="1" applyBorder="1" applyAlignment="1">
      <alignment horizontal="center" vertical="center"/>
    </xf>
    <xf numFmtId="14" fontId="2" fillId="0" borderId="8" xfId="24" applyNumberFormat="1" applyBorder="1" applyAlignment="1">
      <alignment horizontal="center" vertical="center"/>
    </xf>
    <xf numFmtId="0" fontId="103" fillId="0" borderId="8" xfId="24" applyFont="1" applyBorder="1" applyAlignment="1">
      <alignment horizontal="center" vertical="center"/>
    </xf>
    <xf numFmtId="0" fontId="106" fillId="0" borderId="8" xfId="24" applyFont="1" applyBorder="1" applyAlignment="1">
      <alignment horizontal="center" vertical="center"/>
    </xf>
    <xf numFmtId="165" fontId="103" fillId="0" borderId="8" xfId="24" applyNumberFormat="1" applyFont="1" applyBorder="1" applyAlignment="1">
      <alignment horizontal="center" vertical="center"/>
    </xf>
    <xf numFmtId="0" fontId="2" fillId="0" borderId="0" xfId="24" applyBorder="1" applyAlignment="1"/>
    <xf numFmtId="0" fontId="103" fillId="0" borderId="0" xfId="24" applyFont="1" applyBorder="1"/>
    <xf numFmtId="0" fontId="2" fillId="0" borderId="0" xfId="24" applyAlignment="1">
      <alignment horizontal="center" vertical="center"/>
    </xf>
    <xf numFmtId="0" fontId="102" fillId="0" borderId="0" xfId="24" applyFont="1"/>
    <xf numFmtId="0" fontId="89" fillId="0" borderId="71" xfId="0" applyFont="1" applyBorder="1" applyAlignment="1" applyProtection="1">
      <alignment horizontal="center" vertical="top" wrapText="1"/>
    </xf>
    <xf numFmtId="0" fontId="89" fillId="0" borderId="6" xfId="0" applyFont="1" applyBorder="1" applyAlignment="1" applyProtection="1">
      <alignment horizontal="center" vertical="top" wrapText="1"/>
    </xf>
    <xf numFmtId="0" fontId="89" fillId="0" borderId="66" xfId="0" applyFont="1" applyBorder="1" applyAlignment="1" applyProtection="1">
      <alignment horizontal="center" vertical="center" wrapText="1"/>
    </xf>
    <xf numFmtId="0" fontId="89" fillId="0" borderId="33" xfId="0" applyFont="1" applyBorder="1" applyAlignment="1" applyProtection="1">
      <alignment horizontal="center" vertical="center" wrapText="1"/>
    </xf>
    <xf numFmtId="165" fontId="89" fillId="0" borderId="33" xfId="19" applyNumberFormat="1" applyFont="1" applyFill="1" applyBorder="1" applyAlignment="1" applyProtection="1">
      <alignment horizontal="center" vertical="center" wrapText="1"/>
    </xf>
    <xf numFmtId="0" fontId="90" fillId="0" borderId="41" xfId="0" applyFont="1" applyBorder="1" applyAlignment="1" applyProtection="1">
      <alignment horizontal="center" vertical="center" wrapText="1"/>
    </xf>
    <xf numFmtId="0" fontId="89" fillId="0" borderId="7" xfId="0" applyFont="1" applyBorder="1" applyAlignment="1" applyProtection="1">
      <alignment horizontal="center" vertical="top" wrapText="1"/>
    </xf>
    <xf numFmtId="165" fontId="50" fillId="0" borderId="45" xfId="1" applyNumberFormat="1" applyFont="1" applyBorder="1"/>
    <xf numFmtId="0" fontId="91" fillId="0" borderId="45" xfId="0" applyFont="1" applyBorder="1" applyAlignment="1" applyProtection="1">
      <alignment horizontal="left" vertical="top" wrapText="1"/>
      <protection locked="0"/>
    </xf>
    <xf numFmtId="0" fontId="91" fillId="0" borderId="48" xfId="0" applyFont="1" applyBorder="1" applyAlignment="1" applyProtection="1">
      <alignment horizontal="left" vertical="top" wrapText="1"/>
      <protection locked="0"/>
    </xf>
    <xf numFmtId="9" fontId="91" fillId="0" borderId="17" xfId="20" applyFont="1" applyBorder="1" applyAlignment="1" applyProtection="1">
      <alignment horizontal="center" vertical="center" wrapText="1"/>
      <protection locked="0"/>
    </xf>
    <xf numFmtId="165" fontId="91" fillId="0" borderId="17" xfId="19" applyNumberFormat="1" applyFont="1" applyBorder="1" applyAlignment="1" applyProtection="1">
      <alignment horizontal="center" vertical="center" wrapText="1"/>
      <protection locked="0"/>
    </xf>
    <xf numFmtId="165" fontId="50" fillId="0" borderId="17" xfId="19" applyNumberFormat="1" applyFont="1" applyBorder="1"/>
    <xf numFmtId="165" fontId="50" fillId="0" borderId="8" xfId="1" applyNumberFormat="1" applyFont="1" applyBorder="1" applyAlignment="1">
      <alignment horizontal="center" vertical="top"/>
    </xf>
    <xf numFmtId="165" fontId="50" fillId="0" borderId="16" xfId="1" applyNumberFormat="1" applyFont="1" applyBorder="1" applyAlignment="1">
      <alignment horizontal="center" vertical="top"/>
    </xf>
    <xf numFmtId="170" fontId="91" fillId="0" borderId="8" xfId="20" applyNumberFormat="1" applyFont="1" applyBorder="1" applyAlignment="1" applyProtection="1">
      <alignment horizontal="center" vertical="top" wrapText="1"/>
      <protection locked="0"/>
    </xf>
    <xf numFmtId="165" fontId="50" fillId="0" borderId="8" xfId="19" applyNumberFormat="1" applyFont="1" applyBorder="1" applyAlignment="1">
      <alignment horizontal="center" vertical="top"/>
    </xf>
    <xf numFmtId="165" fontId="91" fillId="0" borderId="8" xfId="19" applyNumberFormat="1" applyFont="1" applyBorder="1" applyAlignment="1" applyProtection="1">
      <alignment horizontal="left" wrapText="1"/>
      <protection locked="0"/>
    </xf>
    <xf numFmtId="165" fontId="89" fillId="0" borderId="67" xfId="19" applyNumberFormat="1" applyFont="1" applyFill="1" applyBorder="1" applyAlignment="1" applyProtection="1">
      <alignment horizontal="center" vertical="center" wrapText="1"/>
    </xf>
    <xf numFmtId="165" fontId="50" fillId="0" borderId="16" xfId="19" applyNumberFormat="1" applyFont="1" applyBorder="1"/>
    <xf numFmtId="165" fontId="50" fillId="0" borderId="30" xfId="19" applyNumberFormat="1" applyFont="1" applyBorder="1"/>
    <xf numFmtId="165" fontId="14" fillId="0" borderId="0" xfId="3" applyNumberFormat="1" applyFont="1" applyAlignment="1">
      <alignment horizontal="right"/>
    </xf>
    <xf numFmtId="165" fontId="15" fillId="0" borderId="19" xfId="3" applyNumberFormat="1" applyFont="1" applyBorder="1" applyAlignment="1">
      <alignment horizontal="center" vertical="center" wrapText="1"/>
    </xf>
    <xf numFmtId="0" fontId="8" fillId="0" borderId="45" xfId="15" applyFont="1" applyBorder="1" applyAlignment="1">
      <alignment vertical="center" wrapText="1"/>
    </xf>
    <xf numFmtId="165" fontId="8" fillId="5" borderId="8" xfId="3" applyNumberFormat="1" applyFont="1" applyFill="1" applyBorder="1"/>
    <xf numFmtId="0" fontId="14" fillId="0" borderId="42" xfId="15" applyFont="1" applyBorder="1"/>
    <xf numFmtId="165" fontId="14" fillId="5" borderId="31" xfId="3" applyNumberFormat="1" applyFont="1" applyFill="1" applyBorder="1"/>
    <xf numFmtId="165" fontId="14" fillId="0" borderId="31" xfId="3" applyNumberFormat="1" applyFont="1" applyBorder="1"/>
    <xf numFmtId="165" fontId="14" fillId="0" borderId="32" xfId="3" applyNumberFormat="1" applyFont="1" applyBorder="1"/>
    <xf numFmtId="0" fontId="14" fillId="0" borderId="48" xfId="15" applyFont="1" applyFill="1" applyBorder="1" applyAlignment="1">
      <alignment vertical="center" wrapText="1"/>
    </xf>
    <xf numFmtId="165" fontId="14" fillId="0" borderId="17" xfId="3" applyNumberFormat="1" applyFont="1" applyFill="1" applyBorder="1"/>
    <xf numFmtId="165" fontId="14" fillId="0" borderId="17" xfId="3" applyNumberFormat="1" applyFont="1" applyBorder="1"/>
    <xf numFmtId="165" fontId="14" fillId="0" borderId="30" xfId="3" applyNumberFormat="1" applyFont="1" applyBorder="1"/>
    <xf numFmtId="165" fontId="15" fillId="0" borderId="1" xfId="3" applyNumberFormat="1" applyFont="1" applyBorder="1" applyAlignment="1">
      <alignment horizontal="center" vertical="center" wrapText="1"/>
    </xf>
    <xf numFmtId="165" fontId="8" fillId="0" borderId="1" xfId="3" applyNumberFormat="1" applyFont="1" applyBorder="1" applyAlignment="1">
      <alignment horizontal="center" vertical="center" wrapText="1"/>
    </xf>
    <xf numFmtId="165" fontId="14" fillId="0" borderId="0" xfId="3" applyNumberFormat="1" applyFont="1" applyBorder="1" applyAlignment="1">
      <alignment horizontal="right"/>
    </xf>
    <xf numFmtId="0" fontId="15" fillId="0" borderId="60" xfId="15" applyFont="1" applyBorder="1" applyAlignment="1">
      <alignment horizontal="center" vertical="center" wrapText="1"/>
    </xf>
    <xf numFmtId="165" fontId="14" fillId="0" borderId="2" xfId="3" applyNumberFormat="1" applyFont="1" applyBorder="1" applyAlignment="1">
      <alignment horizontal="center" vertical="center" wrapText="1"/>
    </xf>
    <xf numFmtId="165" fontId="14" fillId="0" borderId="29" xfId="3" applyNumberFormat="1" applyFont="1" applyBorder="1" applyAlignment="1">
      <alignment horizontal="center" vertical="center" wrapText="1"/>
    </xf>
    <xf numFmtId="165" fontId="14" fillId="0" borderId="21" xfId="3" applyNumberFormat="1" applyFont="1" applyBorder="1" applyAlignment="1">
      <alignment horizontal="center" vertical="center" wrapText="1"/>
    </xf>
    <xf numFmtId="165" fontId="14" fillId="0" borderId="62" xfId="3" applyNumberFormat="1" applyFont="1" applyBorder="1" applyAlignment="1">
      <alignment vertical="center" wrapText="1"/>
    </xf>
    <xf numFmtId="165" fontId="14" fillId="0" borderId="25" xfId="3" applyNumberFormat="1" applyFont="1" applyBorder="1" applyAlignment="1">
      <alignment vertical="center" wrapText="1"/>
    </xf>
    <xf numFmtId="165" fontId="14" fillId="0" borderId="2" xfId="3" applyNumberFormat="1" applyFont="1" applyBorder="1" applyAlignment="1">
      <alignment vertical="center" wrapText="1"/>
    </xf>
    <xf numFmtId="165" fontId="14" fillId="0" borderId="29" xfId="3" applyNumberFormat="1" applyFont="1" applyBorder="1" applyAlignment="1">
      <alignment vertical="center" wrapText="1"/>
    </xf>
    <xf numFmtId="0" fontId="14" fillId="0" borderId="68" xfId="15" applyFont="1" applyFill="1" applyBorder="1" applyAlignment="1">
      <alignment vertical="center" wrapText="1"/>
    </xf>
    <xf numFmtId="0" fontId="14" fillId="0" borderId="2" xfId="15" applyFont="1" applyBorder="1" applyAlignment="1">
      <alignment horizontal="left" vertical="center" wrapText="1"/>
    </xf>
    <xf numFmtId="0" fontId="14" fillId="0" borderId="29" xfId="15" applyFont="1" applyBorder="1" applyAlignment="1">
      <alignment horizontal="left" vertical="center" wrapText="1"/>
    </xf>
    <xf numFmtId="165" fontId="14" fillId="0" borderId="12" xfId="3" applyNumberFormat="1" applyFont="1" applyBorder="1" applyAlignment="1">
      <alignment horizontal="center" vertical="center" wrapText="1"/>
    </xf>
    <xf numFmtId="165" fontId="14" fillId="0" borderId="61" xfId="3" applyNumberFormat="1" applyFont="1" applyBorder="1" applyAlignment="1">
      <alignment vertical="center" wrapText="1"/>
    </xf>
    <xf numFmtId="165" fontId="14" fillId="0" borderId="12" xfId="3" applyNumberFormat="1" applyFont="1" applyBorder="1" applyAlignment="1">
      <alignment vertical="center" wrapText="1"/>
    </xf>
    <xf numFmtId="0" fontId="53" fillId="0" borderId="0" xfId="15" applyFont="1" applyFill="1" applyBorder="1"/>
    <xf numFmtId="165" fontId="53" fillId="0" borderId="0" xfId="3" applyNumberFormat="1" applyFont="1" applyFill="1" applyBorder="1"/>
    <xf numFmtId="0" fontId="21" fillId="0" borderId="0" xfId="15" applyFont="1"/>
    <xf numFmtId="165" fontId="21" fillId="0" borderId="0" xfId="3" applyNumberFormat="1" applyFont="1"/>
    <xf numFmtId="165" fontId="60" fillId="0" borderId="0" xfId="1" applyNumberFormat="1" applyFont="1"/>
    <xf numFmtId="169" fontId="78" fillId="0" borderId="6" xfId="13" applyNumberFormat="1" applyFont="1" applyFill="1" applyBorder="1" applyAlignment="1" applyProtection="1">
      <alignment horizontal="right" vertical="center" wrapText="1"/>
      <protection locked="0"/>
    </xf>
    <xf numFmtId="169" fontId="78" fillId="0" borderId="2" xfId="13" applyNumberFormat="1" applyFont="1" applyFill="1" applyBorder="1" applyAlignment="1" applyProtection="1">
      <alignment horizontal="right" vertical="center" wrapText="1"/>
      <protection locked="0"/>
    </xf>
    <xf numFmtId="0" fontId="94" fillId="0" borderId="0" xfId="15" applyFont="1" applyBorder="1" applyAlignment="1">
      <alignment horizontal="right"/>
    </xf>
    <xf numFmtId="165" fontId="103" fillId="0" borderId="8" xfId="24" applyNumberFormat="1" applyFont="1" applyFill="1" applyBorder="1" applyAlignment="1">
      <alignment horizontal="center" vertical="center"/>
    </xf>
    <xf numFmtId="0" fontId="103" fillId="0" borderId="8" xfId="24" applyFont="1" applyFill="1" applyBorder="1" applyAlignment="1">
      <alignment horizontal="center" vertical="center"/>
    </xf>
    <xf numFmtId="168" fontId="84" fillId="0" borderId="62" xfId="12" applyNumberFormat="1" applyFont="1" applyFill="1" applyBorder="1" applyAlignment="1" applyProtection="1">
      <alignment horizontal="center" vertical="center"/>
    </xf>
    <xf numFmtId="0" fontId="93" fillId="0" borderId="35" xfId="13" applyFont="1" applyFill="1" applyBorder="1" applyAlignment="1" applyProtection="1">
      <alignment horizontal="center" vertical="center" wrapText="1"/>
    </xf>
    <xf numFmtId="0" fontId="93" fillId="0" borderId="1" xfId="13" applyFont="1" applyFill="1" applyBorder="1" applyAlignment="1" applyProtection="1">
      <alignment horizontal="center" vertical="center" wrapText="1"/>
    </xf>
    <xf numFmtId="0" fontId="44" fillId="0" borderId="52" xfId="0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5" fontId="8" fillId="0" borderId="59" xfId="1" applyNumberFormat="1" applyFont="1" applyFill="1" applyBorder="1" applyAlignment="1">
      <alignment horizontal="center"/>
    </xf>
    <xf numFmtId="165" fontId="6" fillId="0" borderId="17" xfId="2" applyNumberFormat="1" applyFont="1" applyBorder="1" applyAlignment="1">
      <alignment horizontal="center"/>
    </xf>
    <xf numFmtId="165" fontId="12" fillId="0" borderId="8" xfId="2" applyNumberFormat="1" applyFont="1" applyBorder="1" applyAlignment="1">
      <alignment horizontal="center"/>
    </xf>
    <xf numFmtId="165" fontId="12" fillId="0" borderId="31" xfId="2" applyNumberFormat="1" applyFont="1" applyBorder="1" applyAlignment="1">
      <alignment horizontal="center"/>
    </xf>
    <xf numFmtId="165" fontId="12" fillId="0" borderId="32" xfId="2" applyNumberFormat="1" applyFont="1" applyBorder="1"/>
    <xf numFmtId="0" fontId="6" fillId="0" borderId="16" xfId="0" applyFont="1" applyBorder="1" applyAlignment="1">
      <alignment horizontal="center"/>
    </xf>
    <xf numFmtId="165" fontId="12" fillId="0" borderId="16" xfId="2" applyNumberFormat="1" applyFont="1" applyBorder="1"/>
    <xf numFmtId="1" fontId="0" fillId="0" borderId="0" xfId="0" applyNumberFormat="1" applyAlignment="1"/>
    <xf numFmtId="1" fontId="0" fillId="0" borderId="0" xfId="0" applyNumberFormat="1" applyAlignment="1">
      <alignment horizontal="right"/>
    </xf>
    <xf numFmtId="3" fontId="14" fillId="2" borderId="56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165" fontId="14" fillId="0" borderId="31" xfId="1" applyNumberFormat="1" applyFont="1" applyFill="1" applyBorder="1" applyAlignment="1"/>
    <xf numFmtId="165" fontId="14" fillId="0" borderId="57" xfId="1" applyNumberFormat="1" applyFont="1" applyFill="1" applyBorder="1" applyAlignment="1"/>
    <xf numFmtId="165" fontId="14" fillId="0" borderId="8" xfId="1" applyNumberFormat="1" applyFont="1" applyFill="1" applyBorder="1" applyAlignment="1"/>
    <xf numFmtId="165" fontId="14" fillId="0" borderId="25" xfId="1" applyNumberFormat="1" applyFont="1" applyFill="1" applyBorder="1" applyAlignment="1"/>
    <xf numFmtId="165" fontId="6" fillId="0" borderId="36" xfId="0" applyNumberFormat="1" applyFont="1" applyFill="1" applyBorder="1"/>
    <xf numFmtId="165" fontId="6" fillId="0" borderId="54" xfId="2" applyNumberFormat="1" applyFont="1" applyFill="1" applyBorder="1"/>
    <xf numFmtId="165" fontId="6" fillId="0" borderId="27" xfId="2" applyNumberFormat="1" applyFont="1" applyFill="1" applyBorder="1"/>
    <xf numFmtId="165" fontId="6" fillId="0" borderId="56" xfId="2" applyNumberFormat="1" applyFont="1" applyFill="1" applyBorder="1"/>
    <xf numFmtId="165" fontId="0" fillId="0" borderId="8" xfId="0" applyNumberFormat="1" applyFill="1" applyBorder="1"/>
    <xf numFmtId="0" fontId="14" fillId="0" borderId="8" xfId="0" applyNumberFormat="1" applyFont="1" applyFill="1" applyBorder="1" applyAlignment="1">
      <alignment horizontal="center" vertical="center" wrapText="1"/>
    </xf>
    <xf numFmtId="165" fontId="0" fillId="0" borderId="8" xfId="0" applyNumberFormat="1" applyFill="1" applyBorder="1" applyAlignment="1">
      <alignment horizontal="center"/>
    </xf>
    <xf numFmtId="165" fontId="0" fillId="0" borderId="31" xfId="0" applyNumberFormat="1" applyFill="1" applyBorder="1"/>
    <xf numFmtId="0" fontId="47" fillId="0" borderId="89" xfId="0" applyFont="1" applyFill="1" applyBorder="1" applyAlignment="1">
      <alignment horizontal="left" vertical="center" wrapText="1"/>
    </xf>
    <xf numFmtId="165" fontId="0" fillId="0" borderId="22" xfId="0" applyNumberFormat="1" applyFill="1" applyBorder="1"/>
    <xf numFmtId="165" fontId="15" fillId="0" borderId="8" xfId="0" applyNumberFormat="1" applyFont="1" applyFill="1" applyBorder="1" applyAlignment="1">
      <alignment horizontal="center" vertical="center" wrapText="1"/>
    </xf>
    <xf numFmtId="165" fontId="6" fillId="0" borderId="98" xfId="0" applyNumberFormat="1" applyFont="1" applyFill="1" applyBorder="1"/>
    <xf numFmtId="165" fontId="6" fillId="0" borderId="37" xfId="2" applyNumberFormat="1" applyFont="1" applyFill="1" applyBorder="1"/>
    <xf numFmtId="165" fontId="0" fillId="0" borderId="48" xfId="0" applyNumberFormat="1" applyFill="1" applyBorder="1"/>
    <xf numFmtId="165" fontId="0" fillId="0" borderId="17" xfId="2" applyNumberFormat="1" applyFont="1" applyFill="1" applyBorder="1"/>
    <xf numFmtId="165" fontId="12" fillId="0" borderId="17" xfId="2" applyNumberFormat="1" applyFont="1" applyFill="1" applyBorder="1"/>
    <xf numFmtId="165" fontId="0" fillId="0" borderId="48" xfId="0" applyNumberFormat="1" applyFont="1" applyFill="1" applyBorder="1"/>
    <xf numFmtId="165" fontId="0" fillId="0" borderId="52" xfId="0" applyNumberFormat="1" applyFont="1" applyFill="1" applyBorder="1"/>
    <xf numFmtId="165" fontId="4" fillId="0" borderId="11" xfId="2" applyNumberFormat="1" applyFont="1" applyFill="1" applyBorder="1"/>
    <xf numFmtId="165" fontId="4" fillId="0" borderId="53" xfId="2" applyNumberFormat="1" applyFont="1" applyFill="1" applyBorder="1"/>
    <xf numFmtId="165" fontId="6" fillId="0" borderId="66" xfId="0" applyNumberFormat="1" applyFont="1" applyFill="1" applyBorder="1"/>
    <xf numFmtId="165" fontId="6" fillId="0" borderId="33" xfId="0" applyNumberFormat="1" applyFont="1" applyFill="1" applyBorder="1"/>
    <xf numFmtId="165" fontId="6" fillId="0" borderId="67" xfId="2" applyNumberFormat="1" applyFont="1" applyFill="1" applyBorder="1"/>
    <xf numFmtId="165" fontId="6" fillId="0" borderId="35" xfId="2" applyNumberFormat="1" applyFont="1" applyFill="1" applyBorder="1"/>
    <xf numFmtId="165" fontId="6" fillId="0" borderId="31" xfId="2" applyNumberFormat="1" applyFont="1" applyFill="1" applyBorder="1"/>
    <xf numFmtId="165" fontId="6" fillId="0" borderId="37" xfId="0" applyNumberFormat="1" applyFont="1" applyFill="1" applyBorder="1"/>
    <xf numFmtId="165" fontId="0" fillId="0" borderId="52" xfId="0" applyNumberFormat="1" applyFill="1" applyBorder="1"/>
    <xf numFmtId="165" fontId="12" fillId="0" borderId="53" xfId="2" applyNumberFormat="1" applyFont="1" applyFill="1" applyBorder="1"/>
    <xf numFmtId="165" fontId="6" fillId="0" borderId="33" xfId="2" applyNumberFormat="1" applyFont="1" applyFill="1" applyBorder="1"/>
    <xf numFmtId="165" fontId="0" fillId="0" borderId="30" xfId="2" applyNumberFormat="1" applyFont="1" applyFill="1" applyBorder="1"/>
    <xf numFmtId="165" fontId="6" fillId="0" borderId="59" xfId="2" applyNumberFormat="1" applyFont="1" applyFill="1" applyBorder="1"/>
    <xf numFmtId="0" fontId="0" fillId="0" borderId="0" xfId="0" applyFill="1" applyAlignment="1">
      <alignment horizontal="center" wrapText="1"/>
    </xf>
    <xf numFmtId="0" fontId="22" fillId="0" borderId="68" xfId="0" applyFont="1" applyFill="1" applyBorder="1" applyAlignment="1">
      <alignment horizontal="center" vertical="center" wrapText="1"/>
    </xf>
    <xf numFmtId="0" fontId="22" fillId="0" borderId="71" xfId="0" applyFont="1" applyFill="1" applyBorder="1" applyAlignment="1">
      <alignment horizontal="center" vertical="center" wrapText="1"/>
    </xf>
    <xf numFmtId="3" fontId="8" fillId="0" borderId="51" xfId="0" applyNumberFormat="1" applyFont="1" applyFill="1" applyBorder="1" applyAlignment="1">
      <alignment horizontal="center"/>
    </xf>
    <xf numFmtId="165" fontId="8" fillId="0" borderId="56" xfId="2" applyNumberFormat="1" applyFont="1" applyFill="1" applyBorder="1"/>
    <xf numFmtId="0" fontId="62" fillId="0" borderId="0" xfId="15" applyFont="1" applyAlignment="1">
      <alignment horizontal="center"/>
    </xf>
    <xf numFmtId="0" fontId="62" fillId="5" borderId="0" xfId="15" applyFont="1" applyFill="1" applyAlignment="1">
      <alignment horizontal="center"/>
    </xf>
    <xf numFmtId="3" fontId="14" fillId="0" borderId="24" xfId="0" applyNumberFormat="1" applyFont="1" applyFill="1" applyBorder="1" applyAlignment="1">
      <alignment horizontal="center"/>
    </xf>
    <xf numFmtId="0" fontId="5" fillId="0" borderId="90" xfId="0" applyFont="1" applyFill="1" applyBorder="1" applyAlignment="1">
      <alignment horizontal="left" vertical="center"/>
    </xf>
    <xf numFmtId="165" fontId="8" fillId="0" borderId="88" xfId="2" applyNumberFormat="1" applyFont="1" applyFill="1" applyBorder="1"/>
    <xf numFmtId="3" fontId="8" fillId="0" borderId="91" xfId="0" applyNumberFormat="1" applyFont="1" applyFill="1" applyBorder="1" applyAlignment="1">
      <alignment horizontal="center"/>
    </xf>
    <xf numFmtId="165" fontId="14" fillId="0" borderId="17" xfId="2" applyNumberFormat="1" applyFont="1" applyFill="1" applyBorder="1"/>
    <xf numFmtId="165" fontId="14" fillId="0" borderId="17" xfId="1" applyNumberFormat="1" applyFont="1" applyFill="1" applyBorder="1" applyAlignment="1">
      <alignment horizontal="center" vertical="center"/>
    </xf>
    <xf numFmtId="3" fontId="14" fillId="0" borderId="30" xfId="0" applyNumberFormat="1" applyFont="1" applyFill="1" applyBorder="1" applyAlignment="1">
      <alignment horizontal="center"/>
    </xf>
    <xf numFmtId="0" fontId="5" fillId="0" borderId="98" xfId="0" applyFont="1" applyFill="1" applyBorder="1" applyAlignment="1">
      <alignment horizontal="left" vertical="center"/>
    </xf>
    <xf numFmtId="165" fontId="8" fillId="0" borderId="37" xfId="2" applyNumberFormat="1" applyFont="1" applyFill="1" applyBorder="1"/>
    <xf numFmtId="3" fontId="8" fillId="0" borderId="54" xfId="0" applyNumberFormat="1" applyFont="1" applyFill="1" applyBorder="1" applyAlignment="1">
      <alignment horizontal="center"/>
    </xf>
    <xf numFmtId="3" fontId="8" fillId="0" borderId="30" xfId="0" applyNumberFormat="1" applyFont="1" applyFill="1" applyBorder="1" applyAlignment="1">
      <alignment horizontal="center"/>
    </xf>
    <xf numFmtId="3" fontId="8" fillId="0" borderId="14" xfId="0" applyNumberFormat="1" applyFont="1" applyFill="1" applyBorder="1" applyAlignment="1">
      <alignment horizontal="center"/>
    </xf>
    <xf numFmtId="0" fontId="5" fillId="0" borderId="52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 wrapText="1"/>
    </xf>
    <xf numFmtId="0" fontId="15" fillId="0" borderId="67" xfId="0" applyFont="1" applyFill="1" applyBorder="1" applyAlignment="1">
      <alignment horizontal="center" vertical="center" wrapText="1"/>
    </xf>
    <xf numFmtId="0" fontId="15" fillId="0" borderId="66" xfId="15" applyFont="1" applyBorder="1" applyAlignment="1">
      <alignment horizontal="center" vertical="center" wrapText="1"/>
    </xf>
    <xf numFmtId="165" fontId="15" fillId="0" borderId="33" xfId="3" applyNumberFormat="1" applyFont="1" applyBorder="1" applyAlignment="1">
      <alignment horizontal="center" vertical="center" wrapText="1"/>
    </xf>
    <xf numFmtId="165" fontId="15" fillId="0" borderId="67" xfId="3" applyNumberFormat="1" applyFont="1" applyBorder="1" applyAlignment="1">
      <alignment horizontal="center" vertical="center" wrapText="1"/>
    </xf>
    <xf numFmtId="165" fontId="8" fillId="0" borderId="8" xfId="3" applyNumberFormat="1" applyFont="1" applyFill="1" applyBorder="1"/>
    <xf numFmtId="0" fontId="8" fillId="0" borderId="45" xfId="15" applyFont="1" applyFill="1" applyBorder="1" applyAlignment="1">
      <alignment vertical="center" wrapText="1"/>
    </xf>
    <xf numFmtId="165" fontId="53" fillId="0" borderId="56" xfId="3" applyNumberFormat="1" applyFont="1" applyFill="1" applyBorder="1"/>
    <xf numFmtId="167" fontId="5" fillId="0" borderId="0" xfId="9" applyNumberFormat="1" applyFont="1"/>
    <xf numFmtId="165" fontId="40" fillId="0" borderId="1" xfId="18" applyNumberFormat="1" applyFont="1" applyFill="1" applyBorder="1" applyAlignment="1" applyProtection="1">
      <alignment vertical="center" wrapText="1"/>
    </xf>
    <xf numFmtId="165" fontId="40" fillId="0" borderId="15" xfId="18" applyNumberFormat="1" applyFont="1" applyFill="1" applyBorder="1" applyAlignment="1" applyProtection="1">
      <alignment vertical="center" wrapText="1"/>
    </xf>
    <xf numFmtId="165" fontId="41" fillId="0" borderId="15" xfId="18" applyNumberFormat="1" applyFont="1" applyFill="1" applyBorder="1" applyAlignment="1" applyProtection="1">
      <alignment vertical="center" wrapText="1"/>
    </xf>
    <xf numFmtId="164" fontId="0" fillId="0" borderId="0" xfId="0" applyNumberFormat="1" applyFill="1" applyAlignment="1"/>
    <xf numFmtId="165" fontId="0" fillId="0" borderId="0" xfId="0" applyNumberFormat="1" applyFill="1" applyAlignment="1"/>
    <xf numFmtId="165" fontId="24" fillId="5" borderId="0" xfId="1" applyNumberFormat="1" applyFont="1" applyFill="1" applyAlignment="1">
      <alignment horizontal="center"/>
    </xf>
    <xf numFmtId="3" fontId="7" fillId="0" borderId="68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165" fontId="7" fillId="0" borderId="2" xfId="1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9" xfId="0" applyNumberFormat="1" applyFont="1" applyBorder="1" applyAlignment="1">
      <alignment horizontal="right"/>
    </xf>
    <xf numFmtId="0" fontId="73" fillId="0" borderId="41" xfId="15" applyFont="1" applyBorder="1" applyAlignment="1"/>
    <xf numFmtId="0" fontId="73" fillId="0" borderId="59" xfId="15" applyFont="1" applyBorder="1" applyAlignment="1"/>
    <xf numFmtId="0" fontId="73" fillId="0" borderId="14" xfId="15" applyFont="1" applyBorder="1"/>
    <xf numFmtId="0" fontId="92" fillId="0" borderId="1" xfId="13" applyFont="1" applyFill="1" applyBorder="1" applyAlignment="1" applyProtection="1">
      <alignment horizontal="center" vertical="center"/>
    </xf>
    <xf numFmtId="0" fontId="81" fillId="0" borderId="4" xfId="12" applyFont="1" applyFill="1" applyBorder="1" applyAlignment="1" applyProtection="1">
      <alignment horizontal="center" vertical="center" textRotation="90"/>
    </xf>
    <xf numFmtId="0" fontId="81" fillId="0" borderId="51" xfId="12" applyFont="1" applyFill="1" applyBorder="1" applyAlignment="1" applyProtection="1">
      <alignment horizontal="center" vertical="center" textRotation="91"/>
    </xf>
    <xf numFmtId="0" fontId="93" fillId="0" borderId="68" xfId="13" applyFont="1" applyFill="1" applyBorder="1" applyAlignment="1" applyProtection="1">
      <alignment horizontal="center" vertical="center" wrapText="1"/>
    </xf>
    <xf numFmtId="0" fontId="93" fillId="0" borderId="29" xfId="13" applyFont="1" applyFill="1" applyBorder="1" applyAlignment="1" applyProtection="1">
      <alignment horizontal="center" vertical="center" wrapText="1"/>
    </xf>
    <xf numFmtId="0" fontId="79" fillId="0" borderId="97" xfId="13" applyFont="1" applyFill="1" applyBorder="1" applyAlignment="1" applyProtection="1">
      <alignment horizontal="center" vertical="center" wrapText="1"/>
    </xf>
    <xf numFmtId="168" fontId="82" fillId="0" borderId="57" xfId="12" applyNumberFormat="1" applyFont="1" applyFill="1" applyBorder="1" applyAlignment="1" applyProtection="1">
      <alignment horizontal="center" vertical="center"/>
    </xf>
    <xf numFmtId="0" fontId="8" fillId="0" borderId="0" xfId="15" applyFont="1"/>
    <xf numFmtId="168" fontId="82" fillId="0" borderId="25" xfId="12" applyNumberFormat="1" applyFont="1" applyFill="1" applyBorder="1" applyAlignment="1" applyProtection="1">
      <alignment horizontal="center" vertical="center"/>
    </xf>
    <xf numFmtId="168" fontId="83" fillId="0" borderId="25" xfId="12" applyNumberFormat="1" applyFont="1" applyFill="1" applyBorder="1" applyAlignment="1" applyProtection="1">
      <alignment horizontal="center" vertical="center"/>
    </xf>
    <xf numFmtId="168" fontId="83" fillId="0" borderId="26" xfId="12" applyNumberFormat="1" applyFont="1" applyFill="1" applyBorder="1" applyAlignment="1" applyProtection="1">
      <alignment horizontal="center" vertical="center"/>
    </xf>
    <xf numFmtId="168" fontId="83" fillId="0" borderId="20" xfId="12" applyNumberFormat="1" applyFont="1" applyFill="1" applyBorder="1" applyAlignment="1" applyProtection="1">
      <alignment horizontal="center" vertical="center"/>
    </xf>
    <xf numFmtId="168" fontId="83" fillId="0" borderId="24" xfId="12" applyNumberFormat="1" applyFont="1" applyFill="1" applyBorder="1" applyAlignment="1" applyProtection="1">
      <alignment horizontal="center" vertical="center"/>
    </xf>
    <xf numFmtId="165" fontId="19" fillId="2" borderId="16" xfId="19" applyNumberFormat="1" applyFont="1" applyFill="1" applyBorder="1" applyAlignment="1">
      <alignment horizontal="right"/>
    </xf>
    <xf numFmtId="172" fontId="19" fillId="2" borderId="53" xfId="19" applyNumberFormat="1" applyFont="1" applyFill="1" applyBorder="1" applyAlignment="1">
      <alignment horizontal="right"/>
    </xf>
    <xf numFmtId="171" fontId="18" fillId="2" borderId="56" xfId="19" applyNumberFormat="1" applyFont="1" applyFill="1" applyBorder="1" applyAlignment="1">
      <alignment horizontal="right"/>
    </xf>
    <xf numFmtId="171" fontId="19" fillId="2" borderId="65" xfId="19" applyNumberFormat="1" applyFont="1" applyFill="1" applyBorder="1" applyAlignment="1">
      <alignment horizontal="right"/>
    </xf>
    <xf numFmtId="171" fontId="19" fillId="2" borderId="16" xfId="19" applyNumberFormat="1" applyFont="1" applyFill="1" applyBorder="1" applyAlignment="1">
      <alignment horizontal="right"/>
    </xf>
    <xf numFmtId="171" fontId="19" fillId="2" borderId="53" xfId="19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/>
    <xf numFmtId="165" fontId="4" fillId="0" borderId="53" xfId="2" applyNumberFormat="1" applyFont="1" applyBorder="1"/>
    <xf numFmtId="0" fontId="14" fillId="0" borderId="0" xfId="26" applyFont="1"/>
    <xf numFmtId="49" fontId="14" fillId="0" borderId="0" xfId="26" applyNumberFormat="1" applyFont="1" applyFill="1" applyAlignment="1">
      <alignment horizontal="center" vertical="center" wrapText="1"/>
    </xf>
    <xf numFmtId="164" fontId="14" fillId="0" borderId="0" xfId="26" applyNumberFormat="1" applyFont="1" applyFill="1" applyAlignment="1">
      <alignment vertical="center" wrapText="1"/>
    </xf>
    <xf numFmtId="164" fontId="14" fillId="0" borderId="0" xfId="26" applyNumberFormat="1" applyFont="1" applyFill="1" applyAlignment="1">
      <alignment horizontal="center" vertical="center" wrapText="1"/>
    </xf>
    <xf numFmtId="164" fontId="53" fillId="0" borderId="0" xfId="26" applyNumberFormat="1" applyFont="1" applyFill="1" applyAlignment="1">
      <alignment horizontal="center"/>
    </xf>
    <xf numFmtId="0" fontId="58" fillId="0" borderId="0" xfId="26" applyFont="1"/>
    <xf numFmtId="164" fontId="8" fillId="2" borderId="19" xfId="26" applyNumberFormat="1" applyFont="1" applyFill="1" applyBorder="1" applyAlignment="1">
      <alignment horizontal="center" vertical="center" wrapText="1"/>
    </xf>
    <xf numFmtId="164" fontId="8" fillId="2" borderId="19" xfId="26" applyNumberFormat="1" applyFont="1" applyFill="1" applyBorder="1" applyAlignment="1" applyProtection="1">
      <alignment horizontal="center" vertical="center" wrapText="1"/>
    </xf>
    <xf numFmtId="3" fontId="8" fillId="2" borderId="19" xfId="26" applyNumberFormat="1" applyFont="1" applyFill="1" applyBorder="1" applyAlignment="1" applyProtection="1">
      <alignment horizontal="center" vertical="center" wrapText="1"/>
    </xf>
    <xf numFmtId="3" fontId="8" fillId="2" borderId="56" xfId="26" applyNumberFormat="1" applyFont="1" applyFill="1" applyBorder="1" applyAlignment="1" applyProtection="1">
      <alignment horizontal="center" vertical="center" wrapText="1"/>
    </xf>
    <xf numFmtId="0" fontId="14" fillId="2" borderId="0" xfId="26" applyFont="1" applyFill="1"/>
    <xf numFmtId="49" fontId="8" fillId="2" borderId="98" xfId="26" applyNumberFormat="1" applyFont="1" applyFill="1" applyBorder="1" applyAlignment="1">
      <alignment horizontal="center" vertical="center" wrapText="1"/>
    </xf>
    <xf numFmtId="164" fontId="14" fillId="2" borderId="37" xfId="26" applyNumberFormat="1" applyFont="1" applyFill="1" applyBorder="1" applyAlignment="1" applyProtection="1">
      <alignment horizontal="left" vertical="center" wrapText="1"/>
      <protection locked="0"/>
    </xf>
    <xf numFmtId="173" fontId="14" fillId="2" borderId="37" xfId="26" applyNumberFormat="1" applyFont="1" applyFill="1" applyBorder="1" applyAlignment="1" applyProtection="1">
      <alignment horizontal="center" vertical="center" wrapText="1"/>
      <protection locked="0"/>
    </xf>
    <xf numFmtId="3" fontId="14" fillId="2" borderId="37" xfId="26" applyNumberFormat="1" applyFont="1" applyFill="1" applyBorder="1" applyAlignment="1" applyProtection="1">
      <alignment horizontal="center" vertical="center" wrapText="1"/>
      <protection locked="0"/>
    </xf>
    <xf numFmtId="164" fontId="14" fillId="2" borderId="37" xfId="26" applyNumberFormat="1" applyFont="1" applyFill="1" applyBorder="1" applyAlignment="1" applyProtection="1">
      <alignment horizontal="center" vertical="center" wrapText="1"/>
      <protection locked="0"/>
    </xf>
    <xf numFmtId="3" fontId="14" fillId="2" borderId="54" xfId="26" applyNumberFormat="1" applyFont="1" applyFill="1" applyBorder="1" applyAlignment="1">
      <alignment horizontal="center" vertical="center" wrapText="1"/>
    </xf>
    <xf numFmtId="164" fontId="8" fillId="2" borderId="19" xfId="26" applyNumberFormat="1" applyFont="1" applyFill="1" applyBorder="1" applyAlignment="1" applyProtection="1">
      <alignment horizontal="center" vertical="center" wrapText="1"/>
      <protection locked="0"/>
    </xf>
    <xf numFmtId="164" fontId="14" fillId="5" borderId="22" xfId="26" applyNumberFormat="1" applyFont="1" applyFill="1" applyBorder="1" applyAlignment="1" applyProtection="1">
      <alignment horizontal="left" vertical="center" wrapText="1"/>
      <protection locked="0"/>
    </xf>
    <xf numFmtId="173" fontId="14" fillId="5" borderId="22" xfId="26" applyNumberFormat="1" applyFont="1" applyFill="1" applyBorder="1" applyAlignment="1" applyProtection="1">
      <alignment horizontal="center" vertical="center" wrapText="1"/>
      <protection locked="0"/>
    </xf>
    <xf numFmtId="164" fontId="14" fillId="5" borderId="22" xfId="26" applyNumberFormat="1" applyFont="1" applyFill="1" applyBorder="1" applyAlignment="1" applyProtection="1">
      <alignment horizontal="center" vertical="center" wrapText="1"/>
      <protection locked="0"/>
    </xf>
    <xf numFmtId="164" fontId="14" fillId="5" borderId="8" xfId="26" applyNumberFormat="1" applyFont="1" applyFill="1" applyBorder="1" applyAlignment="1">
      <alignment horizontal="left" vertical="center" wrapText="1"/>
    </xf>
    <xf numFmtId="173" fontId="14" fillId="5" borderId="8" xfId="26" applyNumberFormat="1" applyFont="1" applyFill="1" applyBorder="1" applyAlignment="1" applyProtection="1">
      <alignment horizontal="center" vertical="center" wrapText="1"/>
      <protection locked="0"/>
    </xf>
    <xf numFmtId="164" fontId="14" fillId="5" borderId="8" xfId="26" applyNumberFormat="1" applyFont="1" applyFill="1" applyBorder="1" applyAlignment="1" applyProtection="1">
      <alignment horizontal="center" vertical="center" wrapText="1"/>
      <protection locked="0"/>
    </xf>
    <xf numFmtId="3" fontId="14" fillId="5" borderId="8" xfId="26" applyNumberFormat="1" applyFont="1" applyFill="1" applyBorder="1" applyAlignment="1" applyProtection="1">
      <alignment horizontal="center" vertical="center" wrapText="1"/>
      <protection locked="0"/>
    </xf>
    <xf numFmtId="49" fontId="8" fillId="5" borderId="52" xfId="26" applyNumberFormat="1" applyFont="1" applyFill="1" applyBorder="1" applyAlignment="1">
      <alignment horizontal="center" vertical="center" wrapText="1"/>
    </xf>
    <xf numFmtId="164" fontId="14" fillId="5" borderId="11" xfId="26" applyNumberFormat="1" applyFont="1" applyFill="1" applyBorder="1" applyAlignment="1">
      <alignment horizontal="left" vertical="center" wrapText="1"/>
    </xf>
    <xf numFmtId="173" fontId="14" fillId="5" borderId="11" xfId="26" applyNumberFormat="1" applyFont="1" applyFill="1" applyBorder="1" applyAlignment="1" applyProtection="1">
      <alignment horizontal="center" vertical="center" wrapText="1"/>
      <protection locked="0"/>
    </xf>
    <xf numFmtId="164" fontId="14" fillId="5" borderId="11" xfId="26" applyNumberFormat="1" applyFont="1" applyFill="1" applyBorder="1" applyAlignment="1" applyProtection="1">
      <alignment horizontal="center" vertical="center" wrapText="1"/>
      <protection locked="0"/>
    </xf>
    <xf numFmtId="3" fontId="14" fillId="5" borderId="11" xfId="26" applyNumberFormat="1" applyFont="1" applyFill="1" applyBorder="1" applyAlignment="1" applyProtection="1">
      <alignment horizontal="center" vertical="center" wrapText="1"/>
      <protection locked="0"/>
    </xf>
    <xf numFmtId="164" fontId="14" fillId="5" borderId="65" xfId="26" applyNumberFormat="1" applyFont="1" applyFill="1" applyBorder="1" applyAlignment="1">
      <alignment horizontal="center" vertical="center" wrapText="1"/>
    </xf>
    <xf numFmtId="164" fontId="14" fillId="5" borderId="8" xfId="26" applyNumberFormat="1" applyFont="1" applyFill="1" applyBorder="1" applyAlignment="1" applyProtection="1">
      <alignment horizontal="left" vertical="center" wrapText="1"/>
      <protection locked="0"/>
    </xf>
    <xf numFmtId="164" fontId="14" fillId="5" borderId="11" xfId="26" applyNumberFormat="1" applyFont="1" applyFill="1" applyBorder="1" applyAlignment="1" applyProtection="1">
      <alignment horizontal="left" vertical="center" wrapText="1"/>
      <protection locked="0"/>
    </xf>
    <xf numFmtId="164" fontId="8" fillId="5" borderId="19" xfId="26" applyNumberFormat="1" applyFont="1" applyFill="1" applyBorder="1" applyAlignment="1">
      <alignment horizontal="center" vertical="center" wrapText="1"/>
    </xf>
    <xf numFmtId="165" fontId="14" fillId="5" borderId="8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55" xfId="26" applyNumberFormat="1" applyFont="1" applyFill="1" applyBorder="1" applyAlignment="1">
      <alignment horizontal="center" vertical="center" wrapText="1"/>
    </xf>
    <xf numFmtId="164" fontId="8" fillId="0" borderId="116" xfId="26" applyNumberFormat="1" applyFont="1" applyFill="1" applyBorder="1" applyAlignment="1">
      <alignment horizontal="center" vertical="center"/>
    </xf>
    <xf numFmtId="49" fontId="8" fillId="5" borderId="89" xfId="26" applyNumberFormat="1" applyFont="1" applyFill="1" applyBorder="1" applyAlignment="1">
      <alignment horizontal="center" vertical="center" wrapText="1"/>
    </xf>
    <xf numFmtId="0" fontId="14" fillId="5" borderId="0" xfId="26" applyFont="1" applyFill="1"/>
    <xf numFmtId="49" fontId="8" fillId="5" borderId="45" xfId="26" applyNumberFormat="1" applyFont="1" applyFill="1" applyBorder="1" applyAlignment="1">
      <alignment horizontal="center" vertical="center" wrapText="1"/>
    </xf>
    <xf numFmtId="164" fontId="19" fillId="5" borderId="8" xfId="26" applyNumberFormat="1" applyFont="1" applyFill="1" applyBorder="1" applyAlignment="1">
      <alignment horizontal="left" vertical="center" wrapText="1"/>
    </xf>
    <xf numFmtId="49" fontId="8" fillId="5" borderId="55" xfId="26" applyNumberFormat="1" applyFont="1" applyFill="1" applyBorder="1" applyAlignment="1">
      <alignment horizontal="center" vertical="center" wrapText="1"/>
    </xf>
    <xf numFmtId="164" fontId="8" fillId="5" borderId="19" xfId="26" applyNumberFormat="1" applyFont="1" applyFill="1" applyBorder="1" applyAlignment="1" applyProtection="1">
      <alignment horizontal="center" vertical="center" wrapText="1"/>
      <protection locked="0"/>
    </xf>
    <xf numFmtId="164" fontId="8" fillId="5" borderId="19" xfId="26" applyNumberFormat="1" applyFont="1" applyFill="1" applyBorder="1" applyAlignment="1" applyProtection="1">
      <alignment horizontal="center" vertical="center" wrapText="1"/>
    </xf>
    <xf numFmtId="49" fontId="8" fillId="5" borderId="98" xfId="26" applyNumberFormat="1" applyFont="1" applyFill="1" applyBorder="1" applyAlignment="1">
      <alignment horizontal="center" vertical="center" wrapText="1"/>
    </xf>
    <xf numFmtId="49" fontId="8" fillId="5" borderId="11" xfId="26" applyNumberFormat="1" applyFont="1" applyFill="1" applyBorder="1" applyAlignment="1">
      <alignment horizontal="center" vertical="center" wrapText="1"/>
    </xf>
    <xf numFmtId="164" fontId="8" fillId="5" borderId="56" xfId="26" applyNumberFormat="1" applyFont="1" applyFill="1" applyBorder="1" applyAlignment="1">
      <alignment horizontal="center" vertical="center" wrapText="1"/>
    </xf>
    <xf numFmtId="49" fontId="8" fillId="5" borderId="42" xfId="26" applyNumberFormat="1" applyFont="1" applyFill="1" applyBorder="1" applyAlignment="1">
      <alignment horizontal="center" vertical="center" wrapText="1"/>
    </xf>
    <xf numFmtId="164" fontId="14" fillId="5" borderId="31" xfId="26" applyNumberFormat="1" applyFont="1" applyFill="1" applyBorder="1" applyAlignment="1">
      <alignment horizontal="left" vertical="center" wrapText="1"/>
    </xf>
    <xf numFmtId="164" fontId="14" fillId="5" borderId="31" xfId="26" applyNumberFormat="1" applyFont="1" applyFill="1" applyBorder="1" applyAlignment="1">
      <alignment horizontal="center" vertical="center" wrapText="1"/>
    </xf>
    <xf numFmtId="164" fontId="8" fillId="5" borderId="31" xfId="26" applyNumberFormat="1" applyFont="1" applyFill="1" applyBorder="1" applyAlignment="1">
      <alignment horizontal="center" vertical="center" wrapText="1"/>
    </xf>
    <xf numFmtId="164" fontId="14" fillId="5" borderId="32" xfId="26" applyNumberFormat="1" applyFont="1" applyFill="1" applyBorder="1" applyAlignment="1">
      <alignment horizontal="center" vertical="center" wrapText="1"/>
    </xf>
    <xf numFmtId="164" fontId="14" fillId="5" borderId="16" xfId="26" applyNumberFormat="1" applyFont="1" applyFill="1" applyBorder="1" applyAlignment="1">
      <alignment horizontal="center" vertical="center" wrapText="1"/>
    </xf>
    <xf numFmtId="164" fontId="14" fillId="5" borderId="53" xfId="26" applyNumberFormat="1" applyFont="1" applyFill="1" applyBorder="1" applyAlignment="1">
      <alignment horizontal="center" vertical="center" wrapText="1"/>
    </xf>
    <xf numFmtId="164" fontId="14" fillId="2" borderId="88" xfId="26" applyNumberFormat="1" applyFont="1" applyFill="1" applyBorder="1" applyAlignment="1" applyProtection="1">
      <alignment horizontal="center" vertical="center" wrapText="1"/>
    </xf>
    <xf numFmtId="164" fontId="8" fillId="2" borderId="88" xfId="26" applyNumberFormat="1" applyFont="1" applyFill="1" applyBorder="1" applyAlignment="1" applyProtection="1">
      <alignment horizontal="center" vertical="center" wrapText="1"/>
    </xf>
    <xf numFmtId="164" fontId="8" fillId="0" borderId="116" xfId="26" applyNumberFormat="1" applyFont="1" applyFill="1" applyBorder="1" applyAlignment="1">
      <alignment horizontal="center" vertical="center" wrapText="1"/>
    </xf>
    <xf numFmtId="165" fontId="14" fillId="0" borderId="0" xfId="1" applyNumberFormat="1" applyFont="1" applyFill="1" applyAlignment="1">
      <alignment horizontal="center" vertical="center" wrapText="1"/>
    </xf>
    <xf numFmtId="165" fontId="8" fillId="2" borderId="19" xfId="1" applyNumberFormat="1" applyFont="1" applyFill="1" applyBorder="1" applyAlignment="1" applyProtection="1">
      <alignment horizontal="center" vertical="center" wrapText="1"/>
    </xf>
    <xf numFmtId="165" fontId="14" fillId="2" borderId="37" xfId="1" applyNumberFormat="1" applyFont="1" applyFill="1" applyBorder="1" applyAlignment="1" applyProtection="1">
      <alignment horizontal="center" vertical="center" wrapText="1"/>
      <protection locked="0"/>
    </xf>
    <xf numFmtId="165" fontId="14" fillId="5" borderId="22" xfId="1" applyNumberFormat="1" applyFont="1" applyFill="1" applyBorder="1" applyAlignment="1" applyProtection="1">
      <alignment horizontal="center" vertical="center" wrapText="1"/>
      <protection locked="0"/>
    </xf>
    <xf numFmtId="165" fontId="14" fillId="5" borderId="11" xfId="1" applyNumberFormat="1" applyFont="1" applyFill="1" applyBorder="1" applyAlignment="1" applyProtection="1">
      <alignment horizontal="center" vertical="center" wrapText="1"/>
      <protection locked="0"/>
    </xf>
    <xf numFmtId="165" fontId="8" fillId="5" borderId="19" xfId="1" applyNumberFormat="1" applyFont="1" applyFill="1" applyBorder="1" applyAlignment="1">
      <alignment horizontal="center" vertical="center" wrapText="1"/>
    </xf>
    <xf numFmtId="165" fontId="14" fillId="5" borderId="31" xfId="1" applyNumberFormat="1" applyFont="1" applyFill="1" applyBorder="1" applyAlignment="1">
      <alignment horizontal="center" vertical="center" wrapText="1"/>
    </xf>
    <xf numFmtId="165" fontId="8" fillId="2" borderId="88" xfId="1" applyNumberFormat="1" applyFont="1" applyFill="1" applyBorder="1" applyAlignment="1" applyProtection="1">
      <alignment horizontal="center" vertical="center" wrapText="1"/>
    </xf>
    <xf numFmtId="49" fontId="8" fillId="5" borderId="36" xfId="26" applyNumberFormat="1" applyFont="1" applyFill="1" applyBorder="1" applyAlignment="1">
      <alignment horizontal="center" vertical="center" wrapText="1"/>
    </xf>
    <xf numFmtId="3" fontId="24" fillId="2" borderId="34" xfId="0" applyNumberFormat="1" applyFont="1" applyFill="1" applyBorder="1" applyAlignment="1">
      <alignment horizontal="left" wrapText="1"/>
    </xf>
    <xf numFmtId="3" fontId="24" fillId="2" borderId="13" xfId="0" applyNumberFormat="1" applyFont="1" applyFill="1" applyBorder="1" applyAlignment="1">
      <alignment horizontal="left" wrapText="1"/>
    </xf>
    <xf numFmtId="3" fontId="24" fillId="2" borderId="64" xfId="0" applyNumberFormat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right"/>
    </xf>
    <xf numFmtId="0" fontId="12" fillId="2" borderId="13" xfId="0" applyFont="1" applyFill="1" applyBorder="1" applyAlignment="1">
      <alignment horizontal="right"/>
    </xf>
    <xf numFmtId="0" fontId="18" fillId="2" borderId="15" xfId="0" applyFont="1" applyFill="1" applyBorder="1" applyAlignment="1">
      <alignment horizontal="center" vertical="center"/>
    </xf>
    <xf numFmtId="0" fontId="45" fillId="2" borderId="35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 wrapText="1"/>
    </xf>
    <xf numFmtId="0" fontId="18" fillId="0" borderId="59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44" fillId="0" borderId="15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4" fillId="0" borderId="35" xfId="0" applyFont="1" applyFill="1" applyBorder="1" applyAlignment="1">
      <alignment horizontal="center" vertical="center" wrapText="1"/>
    </xf>
    <xf numFmtId="0" fontId="44" fillId="0" borderId="12" xfId="0" applyFont="1" applyFill="1" applyBorder="1" applyAlignment="1">
      <alignment horizontal="center" vertical="center" wrapText="1"/>
    </xf>
    <xf numFmtId="0" fontId="44" fillId="0" borderId="60" xfId="0" applyFont="1" applyFill="1" applyBorder="1" applyAlignment="1">
      <alignment horizontal="center" vertical="center" wrapText="1"/>
    </xf>
    <xf numFmtId="0" fontId="44" fillId="0" borderId="70" xfId="0" applyFont="1" applyFill="1" applyBorder="1" applyAlignment="1">
      <alignment horizontal="center" vertical="center" wrapText="1"/>
    </xf>
    <xf numFmtId="0" fontId="44" fillId="0" borderId="3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29" xfId="0" applyFont="1" applyFill="1" applyBorder="1" applyAlignment="1">
      <alignment horizontal="center" vertical="center" wrapText="1"/>
    </xf>
    <xf numFmtId="0" fontId="44" fillId="0" borderId="6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44" fillId="0" borderId="42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center" wrapText="1"/>
    </xf>
    <xf numFmtId="0" fontId="44" fillId="0" borderId="89" xfId="0" applyFont="1" applyBorder="1" applyAlignment="1">
      <alignment horizontal="center" vertical="center" wrapText="1"/>
    </xf>
    <xf numFmtId="0" fontId="44" fillId="0" borderId="52" xfId="0" applyFont="1" applyBorder="1" applyAlignment="1">
      <alignment horizontal="center" vertical="center" wrapText="1"/>
    </xf>
    <xf numFmtId="165" fontId="0" fillId="0" borderId="13" xfId="2" applyNumberFormat="1" applyFont="1" applyBorder="1" applyAlignment="1">
      <alignment horizontal="right"/>
    </xf>
    <xf numFmtId="0" fontId="18" fillId="0" borderId="42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8" fillId="0" borderId="6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15" fillId="0" borderId="68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58" fillId="0" borderId="0" xfId="0" applyFont="1" applyAlignment="1">
      <alignment horizontal="center" wrapText="1"/>
    </xf>
    <xf numFmtId="0" fontId="9" fillId="0" borderId="41" xfId="0" applyFont="1" applyFill="1" applyBorder="1" applyAlignment="1">
      <alignment horizontal="center"/>
    </xf>
    <xf numFmtId="0" fontId="9" fillId="0" borderId="59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49" fontId="44" fillId="0" borderId="60" xfId="0" applyNumberFormat="1" applyFont="1" applyFill="1" applyBorder="1" applyAlignment="1">
      <alignment horizontal="center" vertical="center" wrapText="1"/>
    </xf>
    <xf numFmtId="49" fontId="44" fillId="0" borderId="70" xfId="0" applyNumberFormat="1" applyFont="1" applyFill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32" fillId="0" borderId="7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/>
    </xf>
    <xf numFmtId="0" fontId="32" fillId="0" borderId="15" xfId="0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15" fillId="0" borderId="41" xfId="0" applyFont="1" applyFill="1" applyBorder="1" applyAlignment="1">
      <alignment horizontal="center"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0" fillId="0" borderId="0" xfId="0" applyFont="1" applyAlignment="1">
      <alignment horizontal="center"/>
    </xf>
    <xf numFmtId="164" fontId="95" fillId="0" borderId="0" xfId="11" applyNumberFormat="1" applyFont="1" applyFill="1" applyBorder="1" applyAlignment="1" applyProtection="1">
      <alignment horizontal="center" vertical="center"/>
    </xf>
    <xf numFmtId="0" fontId="97" fillId="0" borderId="42" xfId="11" applyFont="1" applyFill="1" applyBorder="1" applyAlignment="1" applyProtection="1">
      <alignment horizontal="center" vertical="center" wrapText="1"/>
    </xf>
    <xf numFmtId="0" fontId="97" fillId="0" borderId="48" xfId="11" applyFont="1" applyFill="1" applyBorder="1" applyAlignment="1" applyProtection="1">
      <alignment horizontal="center" vertical="center" wrapText="1"/>
    </xf>
    <xf numFmtId="0" fontId="97" fillId="0" borderId="31" xfId="11" applyFont="1" applyFill="1" applyBorder="1" applyAlignment="1" applyProtection="1">
      <alignment horizontal="center" vertical="center" wrapText="1"/>
    </xf>
    <xf numFmtId="0" fontId="97" fillId="0" borderId="17" xfId="11" applyFont="1" applyFill="1" applyBorder="1" applyAlignment="1" applyProtection="1">
      <alignment horizontal="center" vertical="center" wrapText="1"/>
    </xf>
    <xf numFmtId="165" fontId="97" fillId="5" borderId="31" xfId="1" applyNumberFormat="1" applyFont="1" applyFill="1" applyBorder="1" applyAlignment="1" applyProtection="1">
      <alignment horizontal="center" vertical="center" wrapText="1"/>
    </xf>
    <xf numFmtId="165" fontId="97" fillId="5" borderId="17" xfId="1" applyNumberFormat="1" applyFont="1" applyFill="1" applyBorder="1" applyAlignment="1" applyProtection="1">
      <alignment horizontal="center" vertical="center" wrapText="1"/>
    </xf>
    <xf numFmtId="164" fontId="24" fillId="0" borderId="31" xfId="11" applyNumberFormat="1" applyFont="1" applyFill="1" applyBorder="1" applyAlignment="1" applyProtection="1">
      <alignment horizontal="center" vertical="center"/>
    </xf>
    <xf numFmtId="0" fontId="97" fillId="0" borderId="32" xfId="11" applyFont="1" applyFill="1" applyBorder="1" applyAlignment="1" applyProtection="1">
      <alignment horizontal="center" vertical="center" wrapText="1"/>
    </xf>
    <xf numFmtId="0" fontId="97" fillId="0" borderId="30" xfId="11" applyFont="1" applyFill="1" applyBorder="1" applyAlignment="1" applyProtection="1">
      <alignment horizontal="center" vertical="center" wrapText="1"/>
    </xf>
    <xf numFmtId="0" fontId="97" fillId="0" borderId="41" xfId="11" applyFont="1" applyFill="1" applyBorder="1" applyAlignment="1" applyProtection="1">
      <alignment horizontal="left" vertical="center" wrapText="1"/>
    </xf>
    <xf numFmtId="0" fontId="97" fillId="0" borderId="59" xfId="11" applyFont="1" applyFill="1" applyBorder="1" applyAlignment="1" applyProtection="1">
      <alignment horizontal="left" vertical="center" wrapText="1"/>
    </xf>
    <xf numFmtId="0" fontId="99" fillId="0" borderId="41" xfId="0" applyFont="1" applyBorder="1" applyAlignment="1">
      <alignment horizontal="center"/>
    </xf>
    <xf numFmtId="0" fontId="99" fillId="0" borderId="59" xfId="0" applyFont="1" applyBorder="1" applyAlignment="1">
      <alignment horizontal="center"/>
    </xf>
    <xf numFmtId="164" fontId="97" fillId="0" borderId="0" xfId="11" applyNumberFormat="1" applyFont="1" applyFill="1" applyBorder="1" applyAlignment="1" applyProtection="1">
      <alignment horizontal="center" vertical="center"/>
    </xf>
    <xf numFmtId="164" fontId="97" fillId="0" borderId="31" xfId="11" applyNumberFormat="1" applyFont="1" applyFill="1" applyBorder="1" applyAlignment="1" applyProtection="1">
      <alignment horizontal="center" vertical="center"/>
    </xf>
    <xf numFmtId="0" fontId="51" fillId="0" borderId="0" xfId="0" applyFont="1" applyAlignment="1">
      <alignment horizontal="center"/>
    </xf>
    <xf numFmtId="0" fontId="7" fillId="2" borderId="13" xfId="0" applyFont="1" applyFill="1" applyBorder="1" applyAlignment="1">
      <alignment horizontal="right"/>
    </xf>
    <xf numFmtId="0" fontId="8" fillId="5" borderId="0" xfId="15" applyFont="1" applyFill="1" applyBorder="1" applyAlignment="1">
      <alignment horizontal="center"/>
    </xf>
    <xf numFmtId="0" fontId="51" fillId="0" borderId="0" xfId="15" applyFont="1" applyBorder="1" applyAlignment="1">
      <alignment horizontal="center"/>
    </xf>
    <xf numFmtId="0" fontId="51" fillId="0" borderId="0" xfId="15" applyFont="1" applyFill="1" applyBorder="1" applyAlignment="1">
      <alignment horizontal="center"/>
    </xf>
    <xf numFmtId="167" fontId="14" fillId="0" borderId="99" xfId="4" applyNumberFormat="1" applyFont="1" applyFill="1" applyBorder="1" applyAlignment="1" applyProtection="1">
      <alignment horizontal="right"/>
    </xf>
    <xf numFmtId="0" fontId="50" fillId="0" borderId="99" xfId="15" applyFont="1" applyBorder="1" applyAlignment="1">
      <alignment horizontal="right"/>
    </xf>
    <xf numFmtId="0" fontId="88" fillId="0" borderId="0" xfId="0" applyFont="1" applyAlignment="1" applyProtection="1">
      <alignment horizontal="center" vertical="center" wrapText="1"/>
      <protection locked="0"/>
    </xf>
    <xf numFmtId="0" fontId="89" fillId="0" borderId="55" xfId="0" applyFont="1" applyBorder="1" applyAlignment="1" applyProtection="1">
      <alignment wrapText="1"/>
    </xf>
    <xf numFmtId="0" fontId="89" fillId="0" borderId="19" xfId="0" applyFont="1" applyBorder="1" applyAlignment="1" applyProtection="1">
      <alignment wrapText="1"/>
    </xf>
    <xf numFmtId="0" fontId="14" fillId="0" borderId="0" xfId="15" applyAlignment="1">
      <alignment horizontal="center"/>
    </xf>
    <xf numFmtId="0" fontId="16" fillId="0" borderId="0" xfId="15" applyFont="1" applyAlignment="1">
      <alignment horizontal="center"/>
    </xf>
    <xf numFmtId="0" fontId="107" fillId="0" borderId="0" xfId="15" applyFont="1" applyAlignment="1">
      <alignment horizontal="center"/>
    </xf>
    <xf numFmtId="0" fontId="9" fillId="0" borderId="0" xfId="15" applyFont="1" applyFill="1" applyAlignment="1">
      <alignment horizontal="center"/>
    </xf>
    <xf numFmtId="0" fontId="9" fillId="0" borderId="0" xfId="15" applyFont="1" applyAlignment="1">
      <alignment horizontal="center" wrapText="1"/>
    </xf>
    <xf numFmtId="0" fontId="107" fillId="5" borderId="0" xfId="15" applyFont="1" applyFill="1" applyAlignment="1">
      <alignment horizontal="center"/>
    </xf>
    <xf numFmtId="0" fontId="56" fillId="0" borderId="0" xfId="15" applyFont="1" applyAlignment="1">
      <alignment horizontal="center" vertical="center" wrapText="1"/>
    </xf>
    <xf numFmtId="0" fontId="100" fillId="0" borderId="0" xfId="0" applyFont="1" applyAlignment="1">
      <alignment horizontal="center" vertical="center" wrapText="1"/>
    </xf>
    <xf numFmtId="0" fontId="51" fillId="0" borderId="0" xfId="13" applyFont="1" applyFill="1" applyAlignment="1">
      <alignment horizontal="center" vertical="center" wrapText="1"/>
    </xf>
    <xf numFmtId="0" fontId="93" fillId="0" borderId="41" xfId="13" applyFont="1" applyFill="1" applyBorder="1" applyAlignment="1" applyProtection="1">
      <alignment horizontal="center" wrapText="1"/>
    </xf>
    <xf numFmtId="0" fontId="93" fillId="0" borderId="14" xfId="13" applyFont="1" applyFill="1" applyBorder="1" applyAlignment="1" applyProtection="1">
      <alignment horizontal="center" wrapText="1"/>
    </xf>
    <xf numFmtId="0" fontId="62" fillId="0" borderId="0" xfId="15" applyFont="1" applyAlignment="1">
      <alignment horizontal="center"/>
    </xf>
    <xf numFmtId="0" fontId="62" fillId="5" borderId="0" xfId="15" applyFont="1" applyFill="1" applyAlignment="1">
      <alignment horizontal="center"/>
    </xf>
    <xf numFmtId="0" fontId="94" fillId="0" borderId="41" xfId="15" applyFont="1" applyBorder="1" applyAlignment="1">
      <alignment horizontal="center"/>
    </xf>
    <xf numFmtId="0" fontId="94" fillId="0" borderId="14" xfId="15" applyFont="1" applyBorder="1" applyAlignment="1">
      <alignment horizontal="center"/>
    </xf>
    <xf numFmtId="0" fontId="62" fillId="0" borderId="4" xfId="14" applyFont="1" applyBorder="1" applyAlignment="1">
      <alignment horizontal="left"/>
    </xf>
    <xf numFmtId="0" fontId="64" fillId="0" borderId="55" xfId="14" applyFont="1" applyBorder="1" applyAlignment="1">
      <alignment horizontal="left"/>
    </xf>
    <xf numFmtId="0" fontId="64" fillId="0" borderId="19" xfId="14" applyFont="1" applyBorder="1" applyAlignment="1">
      <alignment horizontal="left"/>
    </xf>
    <xf numFmtId="0" fontId="65" fillId="0" borderId="90" xfId="14" applyFont="1" applyBorder="1" applyAlignment="1">
      <alignment horizontal="left"/>
    </xf>
    <xf numFmtId="0" fontId="65" fillId="0" borderId="88" xfId="14" applyFont="1" applyBorder="1" applyAlignment="1">
      <alignment horizontal="left"/>
    </xf>
    <xf numFmtId="0" fontId="61" fillId="0" borderId="0" xfId="14" applyFont="1" applyAlignment="1">
      <alignment horizontal="center"/>
    </xf>
    <xf numFmtId="0" fontId="62" fillId="0" borderId="0" xfId="14" applyFont="1" applyAlignment="1">
      <alignment horizontal="center"/>
    </xf>
    <xf numFmtId="0" fontId="61" fillId="0" borderId="0" xfId="14" applyFont="1" applyFill="1" applyAlignment="1">
      <alignment horizontal="center" wrapText="1"/>
    </xf>
    <xf numFmtId="0" fontId="61" fillId="0" borderId="0" xfId="14" applyFont="1" applyAlignment="1">
      <alignment horizontal="center" wrapText="1"/>
    </xf>
    <xf numFmtId="0" fontId="63" fillId="0" borderId="13" xfId="14" applyFont="1" applyBorder="1" applyAlignment="1">
      <alignment horizontal="center"/>
    </xf>
    <xf numFmtId="0" fontId="61" fillId="0" borderId="66" xfId="14" applyFont="1" applyBorder="1" applyAlignment="1">
      <alignment horizontal="center" vertical="center" wrapText="1"/>
    </xf>
    <xf numFmtId="0" fontId="61" fillId="0" borderId="89" xfId="14" applyFont="1" applyBorder="1" applyAlignment="1">
      <alignment horizontal="center" vertical="center" wrapText="1"/>
    </xf>
    <xf numFmtId="0" fontId="61" fillId="0" borderId="31" xfId="14" applyFont="1" applyBorder="1" applyAlignment="1">
      <alignment horizontal="center" vertical="center" wrapText="1"/>
    </xf>
    <xf numFmtId="0" fontId="61" fillId="0" borderId="8" xfId="14" applyFont="1" applyBorder="1" applyAlignment="1">
      <alignment horizontal="center" vertical="center" wrapText="1"/>
    </xf>
    <xf numFmtId="0" fontId="61" fillId="0" borderId="31" xfId="14" applyFont="1" applyBorder="1" applyAlignment="1">
      <alignment horizontal="center" vertical="center"/>
    </xf>
    <xf numFmtId="0" fontId="61" fillId="0" borderId="8" xfId="14" applyFont="1" applyBorder="1" applyAlignment="1">
      <alignment horizontal="center" vertical="center"/>
    </xf>
    <xf numFmtId="0" fontId="61" fillId="0" borderId="32" xfId="14" applyFont="1" applyBorder="1" applyAlignment="1">
      <alignment horizontal="center" vertical="center"/>
    </xf>
    <xf numFmtId="0" fontId="62" fillId="0" borderId="0" xfId="14" applyFont="1" applyAlignment="1">
      <alignment horizontal="left"/>
    </xf>
    <xf numFmtId="0" fontId="64" fillId="0" borderId="41" xfId="14" applyFont="1" applyBorder="1" applyAlignment="1">
      <alignment horizontal="left"/>
    </xf>
    <xf numFmtId="0" fontId="64" fillId="0" borderId="27" xfId="14" applyFont="1" applyBorder="1" applyAlignment="1">
      <alignment horizontal="left"/>
    </xf>
    <xf numFmtId="0" fontId="61" fillId="0" borderId="0" xfId="14" applyFont="1" applyAlignment="1">
      <alignment horizontal="center" vertical="center" wrapText="1"/>
    </xf>
    <xf numFmtId="0" fontId="63" fillId="0" borderId="13" xfId="14" applyFont="1" applyBorder="1" applyAlignment="1">
      <alignment horizontal="right"/>
    </xf>
    <xf numFmtId="0" fontId="61" fillId="0" borderId="31" xfId="15" applyFont="1" applyBorder="1" applyAlignment="1">
      <alignment horizontal="center" vertical="center"/>
    </xf>
    <xf numFmtId="0" fontId="61" fillId="0" borderId="32" xfId="15" applyFont="1" applyBorder="1" applyAlignment="1">
      <alignment horizontal="center" vertical="center"/>
    </xf>
    <xf numFmtId="0" fontId="62" fillId="0" borderId="0" xfId="15" applyFont="1" applyAlignment="1">
      <alignment horizontal="left"/>
    </xf>
    <xf numFmtId="0" fontId="64" fillId="0" borderId="41" xfId="15" applyFont="1" applyBorder="1" applyAlignment="1">
      <alignment horizontal="left"/>
    </xf>
    <xf numFmtId="0" fontId="64" fillId="0" borderId="27" xfId="15" applyFont="1" applyBorder="1" applyAlignment="1">
      <alignment horizontal="left"/>
    </xf>
    <xf numFmtId="0" fontId="61" fillId="0" borderId="0" xfId="15" applyFont="1" applyAlignment="1">
      <alignment horizontal="center"/>
    </xf>
    <xf numFmtId="0" fontId="61" fillId="0" borderId="0" xfId="15" applyFont="1" applyAlignment="1">
      <alignment horizontal="center" wrapText="1"/>
    </xf>
    <xf numFmtId="0" fontId="66" fillId="0" borderId="0" xfId="15" applyFont="1" applyAlignment="1">
      <alignment horizontal="center"/>
    </xf>
    <xf numFmtId="0" fontId="63" fillId="0" borderId="13" xfId="15" applyFont="1" applyBorder="1" applyAlignment="1">
      <alignment horizontal="center"/>
    </xf>
    <xf numFmtId="0" fontId="61" fillId="0" borderId="8" xfId="15" applyFont="1" applyBorder="1" applyAlignment="1">
      <alignment horizontal="center" vertical="center"/>
    </xf>
    <xf numFmtId="0" fontId="62" fillId="0" borderId="4" xfId="15" applyFont="1" applyBorder="1" applyAlignment="1">
      <alignment horizontal="left"/>
    </xf>
    <xf numFmtId="0" fontId="64" fillId="0" borderId="55" xfId="15" applyFont="1" applyBorder="1" applyAlignment="1">
      <alignment horizontal="left"/>
    </xf>
    <xf numFmtId="0" fontId="64" fillId="0" borderId="19" xfId="15" applyFont="1" applyBorder="1" applyAlignment="1">
      <alignment horizontal="left"/>
    </xf>
    <xf numFmtId="0" fontId="65" fillId="0" borderId="90" xfId="15" applyFont="1" applyBorder="1" applyAlignment="1">
      <alignment horizontal="left"/>
    </xf>
    <xf numFmtId="0" fontId="65" fillId="0" borderId="88" xfId="15" applyFont="1" applyBorder="1" applyAlignment="1">
      <alignment horizontal="left"/>
    </xf>
    <xf numFmtId="0" fontId="61" fillId="0" borderId="66" xfId="15" applyFont="1" applyBorder="1" applyAlignment="1">
      <alignment horizontal="center" vertical="center" wrapText="1"/>
    </xf>
    <xf numFmtId="0" fontId="61" fillId="0" borderId="89" xfId="15" applyFont="1" applyBorder="1" applyAlignment="1">
      <alignment horizontal="center" vertical="center" wrapText="1"/>
    </xf>
    <xf numFmtId="0" fontId="61" fillId="0" borderId="31" xfId="15" applyFont="1" applyBorder="1" applyAlignment="1">
      <alignment horizontal="center" vertical="center" wrapText="1"/>
    </xf>
    <xf numFmtId="0" fontId="61" fillId="0" borderId="8" xfId="15" applyFont="1" applyBorder="1" applyAlignment="1">
      <alignment horizontal="center" vertical="center" wrapText="1"/>
    </xf>
    <xf numFmtId="0" fontId="62" fillId="5" borderId="0" xfId="23" applyFont="1" applyFill="1" applyAlignment="1">
      <alignment horizontal="center"/>
    </xf>
    <xf numFmtId="0" fontId="61" fillId="0" borderId="0" xfId="23" applyFont="1" applyAlignment="1">
      <alignment horizontal="center" vertical="center" wrapText="1"/>
    </xf>
    <xf numFmtId="0" fontId="61" fillId="0" borderId="0" xfId="23" applyFont="1" applyAlignment="1">
      <alignment horizontal="center"/>
    </xf>
    <xf numFmtId="0" fontId="0" fillId="0" borderId="105" xfId="9" applyFont="1" applyBorder="1" applyAlignment="1">
      <alignment horizontal="left"/>
    </xf>
    <xf numFmtId="0" fontId="0" fillId="0" borderId="106" xfId="9" applyFont="1" applyBorder="1" applyAlignment="1">
      <alignment horizontal="left"/>
    </xf>
    <xf numFmtId="0" fontId="0" fillId="0" borderId="107" xfId="9" applyFont="1" applyBorder="1" applyAlignment="1">
      <alignment horizontal="left"/>
    </xf>
    <xf numFmtId="167" fontId="0" fillId="0" borderId="100" xfId="4" applyNumberFormat="1" applyFont="1" applyFill="1" applyBorder="1" applyAlignment="1" applyProtection="1">
      <alignment horizontal="center"/>
    </xf>
    <xf numFmtId="167" fontId="0" fillId="0" borderId="104" xfId="4" applyNumberFormat="1" applyFont="1" applyFill="1" applyBorder="1" applyAlignment="1" applyProtection="1">
      <alignment horizontal="center"/>
    </xf>
    <xf numFmtId="0" fontId="0" fillId="0" borderId="100" xfId="9" applyFont="1" applyBorder="1" applyAlignment="1">
      <alignment horizontal="center"/>
    </xf>
    <xf numFmtId="167" fontId="12" fillId="0" borderId="100" xfId="4" applyNumberFormat="1" applyFont="1" applyFill="1" applyBorder="1" applyAlignment="1" applyProtection="1">
      <alignment horizontal="center"/>
    </xf>
    <xf numFmtId="0" fontId="5" fillId="0" borderId="100" xfId="9" applyFont="1" applyBorder="1" applyAlignment="1">
      <alignment horizontal="left"/>
    </xf>
    <xf numFmtId="167" fontId="5" fillId="0" borderId="100" xfId="4" applyNumberFormat="1" applyFont="1" applyFill="1" applyBorder="1" applyAlignment="1" applyProtection="1">
      <alignment horizontal="center"/>
    </xf>
    <xf numFmtId="0" fontId="0" fillId="0" borderId="105" xfId="9" applyFont="1" applyBorder="1" applyAlignment="1">
      <alignment horizontal="center" wrapText="1"/>
    </xf>
    <xf numFmtId="0" fontId="0" fillId="0" borderId="106" xfId="9" applyFont="1" applyBorder="1" applyAlignment="1">
      <alignment horizontal="center" wrapText="1"/>
    </xf>
    <xf numFmtId="0" fontId="0" fillId="0" borderId="107" xfId="9" applyFont="1" applyBorder="1" applyAlignment="1">
      <alignment horizontal="center" wrapText="1"/>
    </xf>
    <xf numFmtId="0" fontId="0" fillId="0" borderId="105" xfId="9" applyFont="1" applyBorder="1" applyAlignment="1">
      <alignment horizontal="center"/>
    </xf>
    <xf numFmtId="0" fontId="0" fillId="0" borderId="106" xfId="9" applyFont="1" applyBorder="1" applyAlignment="1">
      <alignment horizontal="center"/>
    </xf>
    <xf numFmtId="0" fontId="0" fillId="0" borderId="107" xfId="9" applyFont="1" applyBorder="1" applyAlignment="1">
      <alignment horizontal="center"/>
    </xf>
    <xf numFmtId="167" fontId="0" fillId="0" borderId="105" xfId="4" applyNumberFormat="1" applyFont="1" applyFill="1" applyBorder="1" applyAlignment="1" applyProtection="1">
      <alignment horizontal="center"/>
    </xf>
    <xf numFmtId="167" fontId="0" fillId="0" borderId="107" xfId="4" applyNumberFormat="1" applyFont="1" applyFill="1" applyBorder="1" applyAlignment="1" applyProtection="1">
      <alignment horizontal="center"/>
    </xf>
    <xf numFmtId="0" fontId="6" fillId="0" borderId="105" xfId="9" applyFont="1" applyBorder="1" applyAlignment="1">
      <alignment horizontal="left"/>
    </xf>
    <xf numFmtId="0" fontId="6" fillId="0" borderId="106" xfId="9" applyFont="1" applyBorder="1" applyAlignment="1">
      <alignment horizontal="left"/>
    </xf>
    <xf numFmtId="0" fontId="6" fillId="0" borderId="107" xfId="9" applyFont="1" applyBorder="1" applyAlignment="1">
      <alignment horizontal="left"/>
    </xf>
    <xf numFmtId="167" fontId="6" fillId="0" borderId="105" xfId="4" applyNumberFormat="1" applyFont="1" applyFill="1" applyBorder="1" applyAlignment="1" applyProtection="1">
      <alignment horizontal="center"/>
    </xf>
    <xf numFmtId="167" fontId="6" fillId="0" borderId="107" xfId="4" applyNumberFormat="1" applyFont="1" applyFill="1" applyBorder="1" applyAlignment="1" applyProtection="1">
      <alignment horizontal="center"/>
    </xf>
    <xf numFmtId="0" fontId="5" fillId="0" borderId="108" xfId="9" applyFont="1" applyBorder="1" applyAlignment="1">
      <alignment horizontal="left"/>
    </xf>
    <xf numFmtId="167" fontId="5" fillId="0" borderId="108" xfId="4" applyNumberFormat="1" applyFont="1" applyFill="1" applyBorder="1" applyAlignment="1" applyProtection="1">
      <alignment horizontal="center"/>
    </xf>
    <xf numFmtId="0" fontId="70" fillId="5" borderId="0" xfId="9" applyFont="1" applyFill="1" applyBorder="1" applyAlignment="1">
      <alignment horizontal="center"/>
    </xf>
    <xf numFmtId="0" fontId="71" fillId="0" borderId="0" xfId="9" applyFont="1" applyBorder="1" applyAlignment="1">
      <alignment horizontal="center"/>
    </xf>
    <xf numFmtId="0" fontId="0" fillId="0" borderId="0" xfId="9" applyFont="1" applyBorder="1" applyAlignment="1">
      <alignment horizontal="center"/>
    </xf>
    <xf numFmtId="0" fontId="5" fillId="0" borderId="73" xfId="9" applyFont="1" applyBorder="1" applyAlignment="1">
      <alignment horizontal="center" wrapText="1"/>
    </xf>
    <xf numFmtId="0" fontId="5" fillId="0" borderId="75" xfId="9" applyFont="1" applyBorder="1" applyAlignment="1">
      <alignment horizontal="center"/>
    </xf>
    <xf numFmtId="0" fontId="5" fillId="0" borderId="100" xfId="9" applyFont="1" applyBorder="1" applyAlignment="1"/>
    <xf numFmtId="0" fontId="0" fillId="0" borderId="100" xfId="9" applyFont="1" applyBorder="1" applyAlignment="1"/>
    <xf numFmtId="0" fontId="0" fillId="0" borderId="104" xfId="9" applyFont="1" applyBorder="1" applyAlignment="1"/>
    <xf numFmtId="167" fontId="0" fillId="4" borderId="100" xfId="4" applyNumberFormat="1" applyFont="1" applyFill="1" applyBorder="1" applyAlignment="1" applyProtection="1">
      <alignment horizontal="center"/>
    </xf>
    <xf numFmtId="0" fontId="0" fillId="0" borderId="105" xfId="9" applyFont="1" applyBorder="1" applyAlignment="1">
      <alignment wrapText="1"/>
    </xf>
    <xf numFmtId="0" fontId="0" fillId="0" borderId="106" xfId="9" applyFont="1" applyBorder="1" applyAlignment="1">
      <alignment wrapText="1"/>
    </xf>
    <xf numFmtId="0" fontId="0" fillId="0" borderId="107" xfId="9" applyFont="1" applyBorder="1" applyAlignment="1">
      <alignment wrapText="1"/>
    </xf>
    <xf numFmtId="0" fontId="6" fillId="0" borderId="105" xfId="9" applyFont="1" applyBorder="1" applyAlignment="1"/>
    <xf numFmtId="0" fontId="6" fillId="0" borderId="106" xfId="9" applyFont="1" applyBorder="1" applyAlignment="1"/>
    <xf numFmtId="0" fontId="6" fillId="0" borderId="107" xfId="9" applyFont="1" applyBorder="1" applyAlignment="1"/>
    <xf numFmtId="0" fontId="5" fillId="0" borderId="108" xfId="9" applyFont="1" applyBorder="1" applyAlignment="1"/>
    <xf numFmtId="0" fontId="71" fillId="0" borderId="0" xfId="9" applyFont="1" applyFill="1" applyBorder="1" applyAlignment="1">
      <alignment horizontal="center"/>
    </xf>
    <xf numFmtId="0" fontId="0" fillId="0" borderId="105" xfId="9" applyFont="1" applyBorder="1" applyAlignment="1"/>
    <xf numFmtId="0" fontId="0" fillId="0" borderId="106" xfId="9" applyFont="1" applyBorder="1" applyAlignment="1"/>
    <xf numFmtId="0" fontId="0" fillId="0" borderId="107" xfId="9" applyFont="1" applyBorder="1" applyAlignment="1"/>
    <xf numFmtId="0" fontId="0" fillId="0" borderId="101" xfId="9" applyFont="1" applyBorder="1" applyAlignment="1"/>
    <xf numFmtId="0" fontId="0" fillId="0" borderId="102" xfId="9" applyFont="1" applyBorder="1" applyAlignment="1"/>
    <xf numFmtId="0" fontId="0" fillId="0" borderId="103" xfId="9" applyFont="1" applyBorder="1" applyAlignment="1"/>
    <xf numFmtId="0" fontId="5" fillId="0" borderId="105" xfId="9" applyFont="1" applyBorder="1" applyAlignment="1"/>
    <xf numFmtId="0" fontId="5" fillId="0" borderId="106" xfId="9" applyFont="1" applyBorder="1" applyAlignment="1"/>
    <xf numFmtId="0" fontId="5" fillId="0" borderId="107" xfId="9" applyFont="1" applyBorder="1" applyAlignment="1"/>
    <xf numFmtId="165" fontId="0" fillId="0" borderId="11" xfId="25" applyNumberFormat="1" applyFont="1" applyBorder="1" applyAlignment="1">
      <alignment horizontal="center" vertical="center"/>
    </xf>
    <xf numFmtId="165" fontId="0" fillId="0" borderId="22" xfId="25" applyNumberFormat="1" applyFont="1" applyBorder="1" applyAlignment="1">
      <alignment horizontal="center" vertical="center"/>
    </xf>
    <xf numFmtId="14" fontId="2" fillId="0" borderId="11" xfId="24" applyNumberFormat="1" applyBorder="1" applyAlignment="1">
      <alignment horizontal="center" vertical="center"/>
    </xf>
    <xf numFmtId="14" fontId="2" fillId="0" borderId="22" xfId="24" applyNumberFormat="1" applyBorder="1" applyAlignment="1">
      <alignment horizontal="center" vertical="center"/>
    </xf>
    <xf numFmtId="0" fontId="101" fillId="0" borderId="0" xfId="24" applyFont="1" applyAlignment="1">
      <alignment horizontal="center" vertical="center" wrapText="1"/>
    </xf>
    <xf numFmtId="0" fontId="2" fillId="0" borderId="11" xfId="24" applyBorder="1" applyAlignment="1">
      <alignment horizontal="center" vertical="center"/>
    </xf>
    <xf numFmtId="0" fontId="2" fillId="0" borderId="22" xfId="24" applyBorder="1" applyAlignment="1">
      <alignment horizontal="center" vertical="center"/>
    </xf>
    <xf numFmtId="0" fontId="104" fillId="0" borderId="8" xfId="24" applyFont="1" applyBorder="1" applyAlignment="1">
      <alignment horizontal="center" vertical="center" wrapText="1"/>
    </xf>
    <xf numFmtId="165" fontId="0" fillId="0" borderId="8" xfId="25" applyNumberFormat="1" applyFont="1" applyBorder="1" applyAlignment="1">
      <alignment horizontal="center" vertical="center"/>
    </xf>
    <xf numFmtId="165" fontId="101" fillId="0" borderId="8" xfId="25" applyNumberFormat="1" applyFont="1" applyBorder="1" applyAlignment="1">
      <alignment horizontal="center" vertical="center"/>
    </xf>
    <xf numFmtId="14" fontId="2" fillId="0" borderId="8" xfId="24" applyNumberFormat="1" applyBorder="1" applyAlignment="1">
      <alignment horizontal="center" vertical="center"/>
    </xf>
    <xf numFmtId="0" fontId="2" fillId="0" borderId="8" xfId="24" applyBorder="1" applyAlignment="1">
      <alignment horizontal="center" vertical="center"/>
    </xf>
    <xf numFmtId="0" fontId="2" fillId="0" borderId="11" xfId="24" applyFill="1" applyBorder="1" applyAlignment="1">
      <alignment horizontal="center" vertical="center"/>
    </xf>
    <xf numFmtId="0" fontId="2" fillId="0" borderId="37" xfId="24" applyFill="1" applyBorder="1" applyAlignment="1">
      <alignment horizontal="center" vertical="center"/>
    </xf>
    <xf numFmtId="0" fontId="2" fillId="0" borderId="22" xfId="24" applyFill="1" applyBorder="1" applyAlignment="1">
      <alignment horizontal="center" vertical="center"/>
    </xf>
    <xf numFmtId="0" fontId="105" fillId="0" borderId="11" xfId="24" applyFont="1" applyBorder="1" applyAlignment="1">
      <alignment horizontal="center" vertical="center" wrapText="1"/>
    </xf>
    <xf numFmtId="0" fontId="105" fillId="0" borderId="37" xfId="24" applyFont="1" applyBorder="1" applyAlignment="1">
      <alignment horizontal="center" vertical="center" wrapText="1"/>
    </xf>
    <xf numFmtId="0" fontId="105" fillId="0" borderId="22" xfId="24" applyFont="1" applyBorder="1" applyAlignment="1">
      <alignment horizontal="center" vertical="center" wrapText="1"/>
    </xf>
    <xf numFmtId="165" fontId="0" fillId="0" borderId="37" xfId="25" applyNumberFormat="1" applyFont="1" applyBorder="1" applyAlignment="1">
      <alignment horizontal="center" vertical="center"/>
    </xf>
    <xf numFmtId="165" fontId="101" fillId="0" borderId="11" xfId="25" applyNumberFormat="1" applyFont="1" applyBorder="1" applyAlignment="1">
      <alignment horizontal="center" vertical="center"/>
    </xf>
    <xf numFmtId="165" fontId="101" fillId="0" borderId="37" xfId="25" applyNumberFormat="1" applyFont="1" applyBorder="1" applyAlignment="1">
      <alignment horizontal="center" vertical="center"/>
    </xf>
    <xf numFmtId="165" fontId="101" fillId="0" borderId="22" xfId="25" applyNumberFormat="1" applyFont="1" applyBorder="1" applyAlignment="1">
      <alignment horizontal="center" vertical="center"/>
    </xf>
    <xf numFmtId="0" fontId="2" fillId="0" borderId="37" xfId="24" applyBorder="1" applyAlignment="1">
      <alignment horizontal="center" vertical="center"/>
    </xf>
    <xf numFmtId="165" fontId="101" fillId="0" borderId="11" xfId="24" applyNumberFormat="1" applyFont="1" applyBorder="1" applyAlignment="1">
      <alignment horizontal="center" vertical="center"/>
    </xf>
    <xf numFmtId="165" fontId="101" fillId="0" borderId="37" xfId="24" applyNumberFormat="1" applyFont="1" applyBorder="1" applyAlignment="1">
      <alignment horizontal="center" vertical="center"/>
    </xf>
    <xf numFmtId="165" fontId="101" fillId="0" borderId="22" xfId="24" applyNumberFormat="1" applyFont="1" applyBorder="1" applyAlignment="1">
      <alignment horizontal="center" vertical="center"/>
    </xf>
    <xf numFmtId="165" fontId="101" fillId="0" borderId="8" xfId="25" applyNumberFormat="1" applyFont="1" applyBorder="1" applyAlignment="1">
      <alignment horizontal="center" vertical="center" wrapText="1"/>
    </xf>
    <xf numFmtId="0" fontId="105" fillId="0" borderId="8" xfId="24" applyFont="1" applyBorder="1" applyAlignment="1">
      <alignment horizontal="center" vertical="center" wrapText="1"/>
    </xf>
    <xf numFmtId="165" fontId="101" fillId="0" borderId="11" xfId="25" applyNumberFormat="1" applyFont="1" applyBorder="1" applyAlignment="1">
      <alignment horizontal="center" vertical="center" wrapText="1"/>
    </xf>
    <xf numFmtId="165" fontId="101" fillId="0" borderId="22" xfId="25" applyNumberFormat="1" applyFont="1" applyBorder="1" applyAlignment="1">
      <alignment horizontal="center" vertical="center" wrapText="1"/>
    </xf>
    <xf numFmtId="49" fontId="2" fillId="0" borderId="11" xfId="24" applyNumberFormat="1" applyBorder="1" applyAlignment="1">
      <alignment horizontal="center" vertical="center"/>
    </xf>
    <xf numFmtId="49" fontId="2" fillId="0" borderId="37" xfId="24" applyNumberFormat="1" applyBorder="1" applyAlignment="1">
      <alignment horizontal="center" vertical="center"/>
    </xf>
    <xf numFmtId="49" fontId="2" fillId="0" borderId="22" xfId="24" applyNumberFormat="1" applyBorder="1" applyAlignment="1">
      <alignment horizontal="center" vertical="center"/>
    </xf>
    <xf numFmtId="165" fontId="101" fillId="0" borderId="37" xfId="25" applyNumberFormat="1" applyFont="1" applyBorder="1" applyAlignment="1">
      <alignment horizontal="center" vertical="center" wrapText="1"/>
    </xf>
    <xf numFmtId="0" fontId="1" fillId="0" borderId="11" xfId="24" applyFont="1" applyBorder="1" applyAlignment="1">
      <alignment horizontal="center" vertical="center"/>
    </xf>
    <xf numFmtId="49" fontId="1" fillId="0" borderId="11" xfId="24" applyNumberFormat="1" applyFont="1" applyBorder="1" applyAlignment="1">
      <alignment horizontal="center" vertical="center"/>
    </xf>
    <xf numFmtId="49" fontId="8" fillId="2" borderId="90" xfId="26" applyNumberFormat="1" applyFont="1" applyFill="1" applyBorder="1" applyAlignment="1">
      <alignment horizontal="center" vertical="center" wrapText="1"/>
    </xf>
    <xf numFmtId="49" fontId="8" fillId="2" borderId="88" xfId="26" applyNumberFormat="1" applyFont="1" applyFill="1" applyBorder="1" applyAlignment="1">
      <alignment horizontal="center" vertical="center" wrapText="1"/>
    </xf>
    <xf numFmtId="165" fontId="8" fillId="0" borderId="110" xfId="1" applyNumberFormat="1" applyFont="1" applyFill="1" applyBorder="1" applyAlignment="1">
      <alignment horizontal="center" vertical="center" wrapText="1"/>
    </xf>
    <xf numFmtId="165" fontId="8" fillId="0" borderId="114" xfId="1" applyNumberFormat="1" applyFont="1" applyFill="1" applyBorder="1" applyAlignment="1">
      <alignment horizontal="center" vertical="center" wrapText="1"/>
    </xf>
    <xf numFmtId="49" fontId="22" fillId="0" borderId="0" xfId="26" applyNumberFormat="1" applyFont="1" applyFill="1" applyBorder="1" applyAlignment="1">
      <alignment horizontal="center"/>
    </xf>
    <xf numFmtId="49" fontId="8" fillId="0" borderId="109" xfId="26" applyNumberFormat="1" applyFont="1" applyFill="1" applyBorder="1" applyAlignment="1">
      <alignment horizontal="center" vertical="center" wrapText="1"/>
    </xf>
    <xf numFmtId="49" fontId="8" fillId="0" borderId="113" xfId="26" applyNumberFormat="1" applyFont="1" applyFill="1" applyBorder="1" applyAlignment="1">
      <alignment horizontal="center" vertical="center" wrapText="1"/>
    </xf>
    <xf numFmtId="164" fontId="8" fillId="0" borderId="110" xfId="26" applyNumberFormat="1" applyFont="1" applyFill="1" applyBorder="1" applyAlignment="1">
      <alignment horizontal="center" vertical="center"/>
    </xf>
    <xf numFmtId="164" fontId="8" fillId="0" borderId="114" xfId="26" applyNumberFormat="1" applyFont="1" applyFill="1" applyBorder="1" applyAlignment="1">
      <alignment horizontal="center" vertical="center"/>
    </xf>
    <xf numFmtId="164" fontId="8" fillId="0" borderId="110" xfId="26" applyNumberFormat="1" applyFont="1" applyFill="1" applyBorder="1" applyAlignment="1">
      <alignment horizontal="center" vertical="center" wrapText="1"/>
    </xf>
    <xf numFmtId="164" fontId="8" fillId="0" borderId="114" xfId="26" applyNumberFormat="1" applyFont="1" applyFill="1" applyBorder="1" applyAlignment="1">
      <alignment horizontal="center" vertical="center" wrapText="1"/>
    </xf>
    <xf numFmtId="164" fontId="8" fillId="0" borderId="111" xfId="26" applyNumberFormat="1" applyFont="1" applyFill="1" applyBorder="1" applyAlignment="1">
      <alignment horizontal="center" vertical="center"/>
    </xf>
    <xf numFmtId="164" fontId="8" fillId="0" borderId="112" xfId="26" applyNumberFormat="1" applyFont="1" applyFill="1" applyBorder="1" applyAlignment="1">
      <alignment horizontal="center" vertical="center"/>
    </xf>
    <xf numFmtId="164" fontId="8" fillId="0" borderId="115" xfId="26" applyNumberFormat="1" applyFont="1" applyFill="1" applyBorder="1" applyAlignment="1">
      <alignment horizontal="center" vertical="center"/>
    </xf>
  </cellXfs>
  <cellStyles count="27">
    <cellStyle name="Ezres" xfId="1" builtinId="3"/>
    <cellStyle name="Ezres 2" xfId="2"/>
    <cellStyle name="Ezres 2 2" xfId="3"/>
    <cellStyle name="Ezres 2 2 2" xfId="4"/>
    <cellStyle name="Ezres 2 2 3" xfId="19"/>
    <cellStyle name="Ezres 2 3" xfId="18"/>
    <cellStyle name="Ezres 3" xfId="5"/>
    <cellStyle name="Ezres 3 2" xfId="6"/>
    <cellStyle name="Ezres 4" xfId="22"/>
    <cellStyle name="Ezres 5" xfId="25"/>
    <cellStyle name="Normál" xfId="0" builtinId="0"/>
    <cellStyle name="Normál 2" xfId="7"/>
    <cellStyle name="Normál 3" xfId="8"/>
    <cellStyle name="Normál 3 2" xfId="9"/>
    <cellStyle name="Normál 3 3" xfId="23"/>
    <cellStyle name="Normál 4" xfId="10"/>
    <cellStyle name="Normál 5" xfId="21"/>
    <cellStyle name="Normál 6" xfId="24"/>
    <cellStyle name="Normál_KVRENMUNKA" xfId="11"/>
    <cellStyle name="Normál_rendelet mellékletei (1)" xfId="26"/>
    <cellStyle name="Normál_VAGYONK" xfId="12"/>
    <cellStyle name="Normál_VAGYONKIM" xfId="13"/>
    <cellStyle name="Normál_Zárszámadás mell" xfId="14"/>
    <cellStyle name="Normál_Zárszámadás mell 2" xfId="15"/>
    <cellStyle name="Százalék 2" xfId="16"/>
    <cellStyle name="Százalék 3" xfId="17"/>
    <cellStyle name="Százalék 3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2"/>
  <sheetViews>
    <sheetView tabSelected="1" zoomScaleNormal="100" workbookViewId="0">
      <selection activeCell="L52" sqref="L52"/>
    </sheetView>
  </sheetViews>
  <sheetFormatPr defaultRowHeight="14.25" x14ac:dyDescent="0.2"/>
  <cols>
    <col min="1" max="1" width="32.7109375" style="32" customWidth="1"/>
    <col min="2" max="3" width="15.5703125" style="32" bestFit="1" customWidth="1"/>
    <col min="4" max="4" width="15.140625" style="32" customWidth="1"/>
    <col min="5" max="5" width="18" style="32" customWidth="1"/>
    <col min="6" max="6" width="12.42578125" style="32" customWidth="1"/>
    <col min="7" max="7" width="12.85546875" style="32" customWidth="1"/>
    <col min="8" max="8" width="12.42578125" style="32" customWidth="1"/>
    <col min="9" max="9" width="9.7109375" style="32" customWidth="1"/>
    <col min="10" max="10" width="12.7109375" style="32" customWidth="1"/>
    <col min="11" max="11" width="14.28515625" style="32" customWidth="1"/>
    <col min="12" max="12" width="13.28515625" style="32" customWidth="1"/>
    <col min="13" max="13" width="10.5703125" style="32" bestFit="1" customWidth="1"/>
    <col min="14" max="14" width="15.42578125" style="32" customWidth="1"/>
    <col min="15" max="16" width="16" style="32" customWidth="1"/>
    <col min="17" max="17" width="11.140625" style="44" customWidth="1"/>
    <col min="18" max="18" width="16.85546875" style="590" bestFit="1" customWidth="1"/>
  </cols>
  <sheetData>
    <row r="3" spans="1:18" ht="37.5" customHeight="1" x14ac:dyDescent="0.25">
      <c r="A3" s="1474" t="s">
        <v>539</v>
      </c>
      <c r="B3" s="1474"/>
      <c r="C3" s="1474"/>
      <c r="D3" s="1474"/>
      <c r="E3" s="1474"/>
      <c r="F3" s="1474"/>
      <c r="G3" s="1474"/>
      <c r="H3" s="1474"/>
      <c r="I3" s="1474"/>
      <c r="J3" s="1474"/>
      <c r="K3" s="1474"/>
      <c r="L3" s="1474"/>
      <c r="M3" s="1474"/>
      <c r="N3" s="1474"/>
      <c r="O3" s="1474"/>
      <c r="P3" s="1474"/>
      <c r="Q3" s="1474"/>
    </row>
    <row r="4" spans="1:18" ht="1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</row>
    <row r="5" spans="1:18" ht="18.75" customHeight="1" thickBot="1" x14ac:dyDescent="0.25">
      <c r="A5" s="64"/>
      <c r="B5" s="64"/>
      <c r="C5" s="64"/>
      <c r="D5" s="64"/>
      <c r="E5" s="64"/>
      <c r="F5" s="680"/>
      <c r="G5" s="680"/>
      <c r="H5" s="680"/>
      <c r="I5" s="680"/>
      <c r="J5" s="680"/>
      <c r="K5" s="680"/>
      <c r="L5" s="680"/>
      <c r="M5" s="680"/>
      <c r="N5" s="1475" t="s">
        <v>460</v>
      </c>
      <c r="O5" s="1476"/>
      <c r="P5" s="1476"/>
      <c r="Q5" s="1476"/>
    </row>
    <row r="6" spans="1:18" s="65" customFormat="1" ht="14.25" customHeight="1" thickBot="1" x14ac:dyDescent="0.25">
      <c r="A6" s="1477" t="s">
        <v>86</v>
      </c>
      <c r="B6" s="1479" t="s">
        <v>146</v>
      </c>
      <c r="C6" s="1480"/>
      <c r="D6" s="1480"/>
      <c r="E6" s="1481"/>
      <c r="F6" s="1479" t="s">
        <v>452</v>
      </c>
      <c r="G6" s="1480"/>
      <c r="H6" s="1480"/>
      <c r="I6" s="1481"/>
      <c r="J6" s="1479" t="s">
        <v>145</v>
      </c>
      <c r="K6" s="1480"/>
      <c r="L6" s="1480"/>
      <c r="M6" s="1481"/>
      <c r="N6" s="1482" t="s">
        <v>11</v>
      </c>
      <c r="O6" s="1483"/>
      <c r="P6" s="1483"/>
      <c r="Q6" s="1484"/>
      <c r="R6" s="684"/>
    </row>
    <row r="7" spans="1:18" s="65" customFormat="1" ht="51" customHeight="1" thickBot="1" x14ac:dyDescent="0.25">
      <c r="A7" s="1478"/>
      <c r="B7" s="172" t="s">
        <v>147</v>
      </c>
      <c r="C7" s="172" t="s">
        <v>148</v>
      </c>
      <c r="D7" s="257" t="s">
        <v>149</v>
      </c>
      <c r="E7" s="274" t="s">
        <v>150</v>
      </c>
      <c r="F7" s="268" t="s">
        <v>147</v>
      </c>
      <c r="G7" s="172" t="s">
        <v>148</v>
      </c>
      <c r="H7" s="257" t="s">
        <v>149</v>
      </c>
      <c r="I7" s="274" t="s">
        <v>150</v>
      </c>
      <c r="J7" s="268" t="s">
        <v>147</v>
      </c>
      <c r="K7" s="172" t="s">
        <v>148</v>
      </c>
      <c r="L7" s="173" t="s">
        <v>149</v>
      </c>
      <c r="M7" s="173" t="s">
        <v>150</v>
      </c>
      <c r="N7" s="172" t="s">
        <v>147</v>
      </c>
      <c r="O7" s="172" t="s">
        <v>148</v>
      </c>
      <c r="P7" s="257" t="s">
        <v>149</v>
      </c>
      <c r="Q7" s="274" t="s">
        <v>150</v>
      </c>
      <c r="R7" s="684"/>
    </row>
    <row r="8" spans="1:18" s="18" customFormat="1" ht="56.25" customHeight="1" thickBot="1" x14ac:dyDescent="0.3">
      <c r="A8" s="156" t="s">
        <v>52</v>
      </c>
      <c r="B8" s="92">
        <f>B9+B16+B15</f>
        <v>345067702</v>
      </c>
      <c r="C8" s="92">
        <f>C9+C16+C15</f>
        <v>762649905</v>
      </c>
      <c r="D8" s="92">
        <f>D9+D16+D15</f>
        <v>732810579</v>
      </c>
      <c r="E8" s="288">
        <f>D8/C8*100</f>
        <v>96.087414971880179</v>
      </c>
      <c r="F8" s="92">
        <f>F9+F16</f>
        <v>0</v>
      </c>
      <c r="G8" s="92">
        <f>G9+G16</f>
        <v>5202304</v>
      </c>
      <c r="H8" s="258">
        <f>H9+H16</f>
        <v>4782627</v>
      </c>
      <c r="I8" s="343">
        <f>H8/G8%</f>
        <v>91.93286282385651</v>
      </c>
      <c r="J8" s="157">
        <f>J9+J16</f>
        <v>0</v>
      </c>
      <c r="K8" s="147">
        <f>K9+K16</f>
        <v>99456</v>
      </c>
      <c r="L8" s="158">
        <f>L9+L16</f>
        <v>49456</v>
      </c>
      <c r="M8" s="343">
        <f>L8/K8%</f>
        <v>49.726512226512227</v>
      </c>
      <c r="N8" s="277">
        <f>J8+F8+B8</f>
        <v>345067702</v>
      </c>
      <c r="O8" s="104">
        <f>K8+G8+C8</f>
        <v>767951665</v>
      </c>
      <c r="P8" s="280">
        <f>L8+H8+D8</f>
        <v>737642662</v>
      </c>
      <c r="Q8" s="288">
        <f>P8/O8*100</f>
        <v>96.05326684199585</v>
      </c>
      <c r="R8" s="681"/>
    </row>
    <row r="9" spans="1:18" s="18" customFormat="1" ht="33.75" customHeight="1" thickBot="1" x14ac:dyDescent="0.3">
      <c r="A9" s="155" t="s">
        <v>56</v>
      </c>
      <c r="B9" s="125">
        <f>SUM(B10:B14)</f>
        <v>341295150</v>
      </c>
      <c r="C9" s="125">
        <f t="shared" ref="C9:D9" si="0">SUM(C10:C14)</f>
        <v>287237387</v>
      </c>
      <c r="D9" s="125">
        <f t="shared" si="0"/>
        <v>287237387</v>
      </c>
      <c r="E9" s="160">
        <f t="shared" ref="E9:E34" si="1">D9/C9*100</f>
        <v>100</v>
      </c>
      <c r="F9" s="125">
        <f>SUM(F10:F13)</f>
        <v>0</v>
      </c>
      <c r="G9" s="93">
        <f>SUM(G10:G13)</f>
        <v>0</v>
      </c>
      <c r="H9" s="94">
        <f>SUM(H10:H13)</f>
        <v>0</v>
      </c>
      <c r="I9" s="160"/>
      <c r="J9" s="125">
        <f>SUM(J10:J13)</f>
        <v>0</v>
      </c>
      <c r="K9" s="93">
        <f>SUM(K10:K13)</f>
        <v>0</v>
      </c>
      <c r="L9" s="94">
        <f>SUM(L10:L13)</f>
        <v>0</v>
      </c>
      <c r="M9" s="160"/>
      <c r="N9" s="125">
        <f t="shared" ref="N9:P34" si="2">J9+F9+B9</f>
        <v>341295150</v>
      </c>
      <c r="O9" s="93">
        <f t="shared" si="2"/>
        <v>287237387</v>
      </c>
      <c r="P9" s="94">
        <f t="shared" si="2"/>
        <v>287237387</v>
      </c>
      <c r="Q9" s="160">
        <f t="shared" ref="Q9:Q46" si="3">P9/O9*100</f>
        <v>100</v>
      </c>
      <c r="R9" s="681"/>
    </row>
    <row r="10" spans="1:18" s="18" customFormat="1" ht="48.75" customHeight="1" x14ac:dyDescent="0.25">
      <c r="A10" s="154" t="s">
        <v>53</v>
      </c>
      <c r="B10" s="250">
        <v>177172373</v>
      </c>
      <c r="C10" s="253">
        <v>177236427</v>
      </c>
      <c r="D10" s="259">
        <v>177236427</v>
      </c>
      <c r="E10" s="349">
        <f t="shared" si="1"/>
        <v>100</v>
      </c>
      <c r="F10" s="250"/>
      <c r="G10" s="98"/>
      <c r="H10" s="139"/>
      <c r="I10" s="290"/>
      <c r="J10" s="250"/>
      <c r="K10" s="139"/>
      <c r="L10" s="139"/>
      <c r="M10" s="290"/>
      <c r="N10" s="344">
        <f t="shared" si="2"/>
        <v>177172373</v>
      </c>
      <c r="O10" s="345">
        <f t="shared" si="2"/>
        <v>177236427</v>
      </c>
      <c r="P10" s="281">
        <f t="shared" si="2"/>
        <v>177236427</v>
      </c>
      <c r="Q10" s="290">
        <f t="shared" si="3"/>
        <v>100</v>
      </c>
      <c r="R10" s="681"/>
    </row>
    <row r="11" spans="1:18" s="18" customFormat="1" ht="46.5" customHeight="1" x14ac:dyDescent="0.25">
      <c r="A11" s="95" t="s">
        <v>54</v>
      </c>
      <c r="B11" s="250">
        <v>92535070</v>
      </c>
      <c r="C11" s="253">
        <v>91948773</v>
      </c>
      <c r="D11" s="259">
        <v>91948773</v>
      </c>
      <c r="E11" s="350">
        <f t="shared" si="1"/>
        <v>100</v>
      </c>
      <c r="F11" s="250"/>
      <c r="G11" s="98"/>
      <c r="H11" s="139"/>
      <c r="I11" s="275"/>
      <c r="J11" s="250"/>
      <c r="K11" s="139"/>
      <c r="L11" s="139"/>
      <c r="M11" s="275"/>
      <c r="N11" s="276">
        <f t="shared" si="2"/>
        <v>92535070</v>
      </c>
      <c r="O11" s="256">
        <f t="shared" si="2"/>
        <v>91948773</v>
      </c>
      <c r="P11" s="279">
        <f t="shared" si="2"/>
        <v>91948773</v>
      </c>
      <c r="Q11" s="275">
        <f t="shared" si="3"/>
        <v>100</v>
      </c>
      <c r="R11" s="681"/>
    </row>
    <row r="12" spans="1:18" s="18" customFormat="1" ht="40.5" customHeight="1" x14ac:dyDescent="0.25">
      <c r="A12" s="95" t="s">
        <v>55</v>
      </c>
      <c r="B12" s="251">
        <v>6592080</v>
      </c>
      <c r="C12" s="254">
        <v>7230155</v>
      </c>
      <c r="D12" s="260">
        <v>7230155</v>
      </c>
      <c r="E12" s="350">
        <f t="shared" si="1"/>
        <v>100</v>
      </c>
      <c r="F12" s="251"/>
      <c r="G12" s="99"/>
      <c r="H12" s="140"/>
      <c r="I12" s="275"/>
      <c r="J12" s="251"/>
      <c r="K12" s="140"/>
      <c r="L12" s="140"/>
      <c r="M12" s="275"/>
      <c r="N12" s="146">
        <f t="shared" si="2"/>
        <v>6592080</v>
      </c>
      <c r="O12" s="90">
        <f t="shared" si="2"/>
        <v>7230155</v>
      </c>
      <c r="P12" s="279">
        <f t="shared" si="2"/>
        <v>7230155</v>
      </c>
      <c r="Q12" s="275">
        <f t="shared" si="3"/>
        <v>100</v>
      </c>
      <c r="R12" s="681"/>
    </row>
    <row r="13" spans="1:18" s="18" customFormat="1" ht="43.5" x14ac:dyDescent="0.25">
      <c r="A13" s="95" t="s">
        <v>415</v>
      </c>
      <c r="B13" s="251">
        <v>64995627</v>
      </c>
      <c r="C13" s="254">
        <v>10822032</v>
      </c>
      <c r="D13" s="260">
        <v>10822032</v>
      </c>
      <c r="E13" s="350">
        <f t="shared" si="1"/>
        <v>100</v>
      </c>
      <c r="F13" s="251"/>
      <c r="G13" s="99"/>
      <c r="H13" s="140"/>
      <c r="I13" s="275"/>
      <c r="J13" s="251"/>
      <c r="K13" s="140"/>
      <c r="L13" s="140"/>
      <c r="M13" s="275"/>
      <c r="N13" s="146">
        <f t="shared" si="2"/>
        <v>64995627</v>
      </c>
      <c r="O13" s="90">
        <f t="shared" si="2"/>
        <v>10822032</v>
      </c>
      <c r="P13" s="279">
        <f t="shared" si="2"/>
        <v>10822032</v>
      </c>
      <c r="Q13" s="275">
        <f t="shared" si="3"/>
        <v>100</v>
      </c>
      <c r="R13" s="681"/>
    </row>
    <row r="14" spans="1:18" s="18" customFormat="1" ht="29.25" x14ac:dyDescent="0.25">
      <c r="A14" s="105" t="s">
        <v>457</v>
      </c>
      <c r="B14" s="940"/>
      <c r="C14" s="941"/>
      <c r="D14" s="263"/>
      <c r="E14" s="351"/>
      <c r="F14" s="940"/>
      <c r="G14" s="108"/>
      <c r="H14" s="142"/>
      <c r="I14" s="288"/>
      <c r="J14" s="940"/>
      <c r="K14" s="142"/>
      <c r="L14" s="142"/>
      <c r="M14" s="288"/>
      <c r="N14" s="277">
        <v>0</v>
      </c>
      <c r="O14" s="104">
        <f t="shared" si="2"/>
        <v>0</v>
      </c>
      <c r="P14" s="280">
        <f t="shared" si="2"/>
        <v>0</v>
      </c>
      <c r="Q14" s="288"/>
      <c r="R14" s="681"/>
    </row>
    <row r="15" spans="1:18" s="18" customFormat="1" ht="57.75" x14ac:dyDescent="0.25">
      <c r="A15" s="105" t="s">
        <v>456</v>
      </c>
      <c r="B15" s="940"/>
      <c r="C15" s="941"/>
      <c r="D15" s="263"/>
      <c r="E15" s="351"/>
      <c r="F15" s="940"/>
      <c r="G15" s="108"/>
      <c r="H15" s="142"/>
      <c r="I15" s="288"/>
      <c r="J15" s="940"/>
      <c r="K15" s="142"/>
      <c r="L15" s="142"/>
      <c r="M15" s="288"/>
      <c r="N15" s="277">
        <f t="shared" si="2"/>
        <v>0</v>
      </c>
      <c r="O15" s="104">
        <v>0</v>
      </c>
      <c r="P15" s="280">
        <v>0</v>
      </c>
      <c r="Q15" s="288"/>
      <c r="R15" s="681"/>
    </row>
    <row r="16" spans="1:18" s="76" customFormat="1" ht="44.25" thickBot="1" x14ac:dyDescent="0.3">
      <c r="A16" s="100" t="s">
        <v>141</v>
      </c>
      <c r="B16" s="252">
        <v>3772552</v>
      </c>
      <c r="C16" s="255">
        <v>475412518</v>
      </c>
      <c r="D16" s="261">
        <v>445573192</v>
      </c>
      <c r="E16" s="351">
        <f t="shared" si="1"/>
        <v>93.723487524996131</v>
      </c>
      <c r="F16" s="252">
        <v>0</v>
      </c>
      <c r="G16" s="103">
        <v>5202304</v>
      </c>
      <c r="H16" s="141">
        <v>4782627</v>
      </c>
      <c r="I16" s="351">
        <f>H16/G16%</f>
        <v>91.93286282385651</v>
      </c>
      <c r="J16" s="252">
        <v>0</v>
      </c>
      <c r="K16" s="141">
        <v>99456</v>
      </c>
      <c r="L16" s="141">
        <v>49456</v>
      </c>
      <c r="M16" s="351">
        <f>L16/K16%</f>
        <v>49.726512226512227</v>
      </c>
      <c r="N16" s="277">
        <f t="shared" si="2"/>
        <v>3772552</v>
      </c>
      <c r="O16" s="104">
        <f t="shared" si="2"/>
        <v>480714278</v>
      </c>
      <c r="P16" s="280">
        <f t="shared" si="2"/>
        <v>450405275</v>
      </c>
      <c r="Q16" s="288">
        <f t="shared" si="3"/>
        <v>93.695006704169501</v>
      </c>
      <c r="R16" s="682"/>
    </row>
    <row r="17" spans="1:18" s="77" customFormat="1" ht="48.75" customHeight="1" thickBot="1" x14ac:dyDescent="0.3">
      <c r="A17" s="91" t="s">
        <v>57</v>
      </c>
      <c r="B17" s="125">
        <f t="shared" ref="B17:L17" si="4">SUM(B18:B19)</f>
        <v>2211232878</v>
      </c>
      <c r="C17" s="93">
        <f t="shared" si="4"/>
        <v>2233189249</v>
      </c>
      <c r="D17" s="94">
        <f t="shared" si="4"/>
        <v>1005277376</v>
      </c>
      <c r="E17" s="160">
        <f t="shared" si="1"/>
        <v>45.015324001320231</v>
      </c>
      <c r="F17" s="125">
        <f t="shared" si="4"/>
        <v>0</v>
      </c>
      <c r="G17" s="93">
        <f t="shared" si="4"/>
        <v>0</v>
      </c>
      <c r="H17" s="94">
        <f t="shared" si="4"/>
        <v>0</v>
      </c>
      <c r="I17" s="160"/>
      <c r="J17" s="125">
        <f t="shared" si="4"/>
        <v>0</v>
      </c>
      <c r="K17" s="94">
        <f t="shared" si="4"/>
        <v>0</v>
      </c>
      <c r="L17" s="94">
        <f t="shared" si="4"/>
        <v>0</v>
      </c>
      <c r="M17" s="160"/>
      <c r="N17" s="125">
        <f t="shared" si="2"/>
        <v>2211232878</v>
      </c>
      <c r="O17" s="93">
        <f t="shared" si="2"/>
        <v>2233189249</v>
      </c>
      <c r="P17" s="94">
        <f t="shared" si="2"/>
        <v>1005277376</v>
      </c>
      <c r="Q17" s="160">
        <f t="shared" si="3"/>
        <v>45.015324001320231</v>
      </c>
      <c r="R17" s="683"/>
    </row>
    <row r="18" spans="1:18" s="18" customFormat="1" ht="58.5" customHeight="1" x14ac:dyDescent="0.25">
      <c r="A18" s="148" t="s">
        <v>111</v>
      </c>
      <c r="B18" s="149"/>
      <c r="C18" s="150">
        <v>39256370</v>
      </c>
      <c r="D18" s="262">
        <v>39256370</v>
      </c>
      <c r="E18" s="290">
        <f t="shared" si="1"/>
        <v>100</v>
      </c>
      <c r="F18" s="269"/>
      <c r="G18" s="151"/>
      <c r="H18" s="152"/>
      <c r="I18" s="290"/>
      <c r="J18" s="269"/>
      <c r="K18" s="152"/>
      <c r="L18" s="152"/>
      <c r="M18" s="290"/>
      <c r="N18" s="278">
        <f t="shared" si="2"/>
        <v>0</v>
      </c>
      <c r="O18" s="153">
        <f t="shared" si="2"/>
        <v>39256370</v>
      </c>
      <c r="P18" s="281">
        <f t="shared" si="2"/>
        <v>39256370</v>
      </c>
      <c r="Q18" s="290">
        <f t="shared" si="3"/>
        <v>100</v>
      </c>
      <c r="R18" s="681"/>
    </row>
    <row r="19" spans="1:18" s="18" customFormat="1" ht="48.75" customHeight="1" thickBot="1" x14ac:dyDescent="0.3">
      <c r="A19" s="105" t="s">
        <v>58</v>
      </c>
      <c r="B19" s="106">
        <v>2211232878</v>
      </c>
      <c r="C19" s="107">
        <v>2193932879</v>
      </c>
      <c r="D19" s="263">
        <v>966021006</v>
      </c>
      <c r="E19" s="288">
        <f t="shared" si="1"/>
        <v>44.031474948327258</v>
      </c>
      <c r="F19" s="270"/>
      <c r="G19" s="108"/>
      <c r="H19" s="142"/>
      <c r="I19" s="288"/>
      <c r="J19" s="270"/>
      <c r="K19" s="142"/>
      <c r="L19" s="142"/>
      <c r="M19" s="288"/>
      <c r="N19" s="277">
        <f t="shared" si="2"/>
        <v>2211232878</v>
      </c>
      <c r="O19" s="104">
        <f t="shared" si="2"/>
        <v>2193932879</v>
      </c>
      <c r="P19" s="280">
        <f t="shared" si="2"/>
        <v>966021006</v>
      </c>
      <c r="Q19" s="288">
        <f t="shared" si="3"/>
        <v>44.031474948327258</v>
      </c>
      <c r="R19" s="681"/>
    </row>
    <row r="20" spans="1:18" s="65" customFormat="1" ht="15.75" thickBot="1" x14ac:dyDescent="0.3">
      <c r="A20" s="156" t="s">
        <v>44</v>
      </c>
      <c r="B20" s="947">
        <f>B22+B23+B27+B21</f>
        <v>82386000</v>
      </c>
      <c r="C20" s="947">
        <f>C22+C23+C27+C21</f>
        <v>82386000</v>
      </c>
      <c r="D20" s="947">
        <f>D22+D23+D27+D21</f>
        <v>79516774</v>
      </c>
      <c r="E20" s="160">
        <f t="shared" si="1"/>
        <v>96.517337897215555</v>
      </c>
      <c r="F20" s="946">
        <f>F22+F23+F27</f>
        <v>0</v>
      </c>
      <c r="G20" s="946">
        <f>G22+G23+G27</f>
        <v>0</v>
      </c>
      <c r="H20" s="947">
        <f>H22+H23+H27</f>
        <v>0</v>
      </c>
      <c r="I20" s="160"/>
      <c r="J20" s="951">
        <f>J22+J23+J27</f>
        <v>0</v>
      </c>
      <c r="K20" s="946">
        <f>K22+K23+K27</f>
        <v>0</v>
      </c>
      <c r="L20" s="946">
        <f>L22+L23+L27</f>
        <v>0</v>
      </c>
      <c r="M20" s="160"/>
      <c r="N20" s="160">
        <f t="shared" si="2"/>
        <v>82386000</v>
      </c>
      <c r="O20" s="160">
        <f>K20+G20+C20</f>
        <v>82386000</v>
      </c>
      <c r="P20" s="160">
        <f t="shared" si="2"/>
        <v>79516774</v>
      </c>
      <c r="Q20" s="160">
        <f t="shared" si="3"/>
        <v>96.517337897215555</v>
      </c>
      <c r="R20" s="684"/>
    </row>
    <row r="21" spans="1:18" s="18" customFormat="1" ht="30" thickBot="1" x14ac:dyDescent="0.3">
      <c r="A21" s="944" t="s">
        <v>458</v>
      </c>
      <c r="B21" s="945"/>
      <c r="C21" s="945"/>
      <c r="D21" s="948"/>
      <c r="E21" s="349"/>
      <c r="F21" s="950"/>
      <c r="G21" s="945"/>
      <c r="H21" s="948"/>
      <c r="I21" s="349"/>
      <c r="J21" s="950"/>
      <c r="K21" s="945"/>
      <c r="L21" s="945"/>
      <c r="M21" s="97"/>
      <c r="N21" s="160">
        <f t="shared" si="2"/>
        <v>0</v>
      </c>
      <c r="O21" s="160">
        <f>K21+G21+C21</f>
        <v>0</v>
      </c>
      <c r="P21" s="97"/>
      <c r="Q21" s="1103"/>
      <c r="R21" s="681"/>
    </row>
    <row r="22" spans="1:18" s="76" customFormat="1" ht="15" x14ac:dyDescent="0.25">
      <c r="A22" s="109" t="s">
        <v>45</v>
      </c>
      <c r="B22" s="110">
        <v>14000000</v>
      </c>
      <c r="C22" s="111">
        <v>14000000</v>
      </c>
      <c r="D22" s="264">
        <v>13129435</v>
      </c>
      <c r="E22" s="349">
        <f t="shared" si="1"/>
        <v>93.781678571428571</v>
      </c>
      <c r="F22" s="271"/>
      <c r="G22" s="112"/>
      <c r="H22" s="113"/>
      <c r="I22" s="275"/>
      <c r="J22" s="271"/>
      <c r="K22" s="113"/>
      <c r="L22" s="113"/>
      <c r="M22" s="290"/>
      <c r="N22" s="278">
        <f t="shared" si="2"/>
        <v>14000000</v>
      </c>
      <c r="O22" s="153">
        <f t="shared" si="2"/>
        <v>14000000</v>
      </c>
      <c r="P22" s="281">
        <f t="shared" si="2"/>
        <v>13129435</v>
      </c>
      <c r="Q22" s="290">
        <f t="shared" si="3"/>
        <v>93.781678571428571</v>
      </c>
      <c r="R22" s="682"/>
    </row>
    <row r="23" spans="1:18" s="76" customFormat="1" ht="29.25" x14ac:dyDescent="0.25">
      <c r="A23" s="114" t="s">
        <v>46</v>
      </c>
      <c r="B23" s="942">
        <f>SUM(B24:B26)</f>
        <v>62499000</v>
      </c>
      <c r="C23" s="942">
        <f t="shared" ref="C23:D23" si="5">SUM(C24:C26)</f>
        <v>62499000</v>
      </c>
      <c r="D23" s="942">
        <f t="shared" si="5"/>
        <v>60902363</v>
      </c>
      <c r="E23" s="350">
        <f t="shared" si="1"/>
        <v>97.445339925438816</v>
      </c>
      <c r="F23" s="162">
        <f>F24+F25+F26</f>
        <v>0</v>
      </c>
      <c r="G23" s="115">
        <f>G24+G25+G26</f>
        <v>0</v>
      </c>
      <c r="H23" s="116">
        <f>H24+H25+H26</f>
        <v>0</v>
      </c>
      <c r="I23" s="275"/>
      <c r="J23" s="162">
        <f>J24+J25+J26</f>
        <v>0</v>
      </c>
      <c r="K23" s="116">
        <f>K24+K25+K26</f>
        <v>0</v>
      </c>
      <c r="L23" s="116">
        <f>L24+L25+L26</f>
        <v>0</v>
      </c>
      <c r="M23" s="275"/>
      <c r="N23" s="146">
        <f t="shared" si="2"/>
        <v>62499000</v>
      </c>
      <c r="O23" s="90">
        <f t="shared" si="2"/>
        <v>62499000</v>
      </c>
      <c r="P23" s="279">
        <f t="shared" si="2"/>
        <v>60902363</v>
      </c>
      <c r="Q23" s="275">
        <f t="shared" si="3"/>
        <v>97.445339925438816</v>
      </c>
      <c r="R23" s="682"/>
    </row>
    <row r="24" spans="1:18" s="76" customFormat="1" ht="57.75" x14ac:dyDescent="0.25">
      <c r="A24" s="105" t="s">
        <v>47</v>
      </c>
      <c r="B24" s="117">
        <v>53855000</v>
      </c>
      <c r="C24" s="118">
        <v>53855000</v>
      </c>
      <c r="D24" s="265">
        <v>51918474</v>
      </c>
      <c r="E24" s="350">
        <f t="shared" si="1"/>
        <v>96.404185312412963</v>
      </c>
      <c r="F24" s="272"/>
      <c r="G24" s="119"/>
      <c r="H24" s="120"/>
      <c r="I24" s="275"/>
      <c r="J24" s="272"/>
      <c r="K24" s="120"/>
      <c r="L24" s="120"/>
      <c r="M24" s="275"/>
      <c r="N24" s="146">
        <f t="shared" si="2"/>
        <v>53855000</v>
      </c>
      <c r="O24" s="90">
        <f t="shared" si="2"/>
        <v>53855000</v>
      </c>
      <c r="P24" s="279">
        <f t="shared" si="2"/>
        <v>51918474</v>
      </c>
      <c r="Q24" s="275">
        <f t="shared" si="3"/>
        <v>96.404185312412963</v>
      </c>
      <c r="R24" s="682"/>
    </row>
    <row r="25" spans="1:18" s="18" customFormat="1" ht="24.75" customHeight="1" x14ac:dyDescent="0.25">
      <c r="A25" s="95" t="s">
        <v>48</v>
      </c>
      <c r="B25" s="121">
        <v>8644000</v>
      </c>
      <c r="C25" s="122">
        <v>8644000</v>
      </c>
      <c r="D25" s="266">
        <v>8983889</v>
      </c>
      <c r="E25" s="350">
        <f t="shared" si="1"/>
        <v>103.93208005552985</v>
      </c>
      <c r="F25" s="273"/>
      <c r="G25" s="123"/>
      <c r="H25" s="124"/>
      <c r="I25" s="275"/>
      <c r="J25" s="273"/>
      <c r="K25" s="124"/>
      <c r="L25" s="124"/>
      <c r="M25" s="275"/>
      <c r="N25" s="146">
        <f t="shared" si="2"/>
        <v>8644000</v>
      </c>
      <c r="O25" s="90">
        <f t="shared" si="2"/>
        <v>8644000</v>
      </c>
      <c r="P25" s="279">
        <f t="shared" si="2"/>
        <v>8983889</v>
      </c>
      <c r="Q25" s="275">
        <f t="shared" si="3"/>
        <v>103.93208005552985</v>
      </c>
      <c r="R25" s="681"/>
    </row>
    <row r="26" spans="1:18" s="18" customFormat="1" ht="47.25" customHeight="1" x14ac:dyDescent="0.25">
      <c r="A26" s="95" t="s">
        <v>49</v>
      </c>
      <c r="B26" s="121"/>
      <c r="C26" s="122"/>
      <c r="D26" s="266"/>
      <c r="E26" s="350"/>
      <c r="F26" s="273"/>
      <c r="G26" s="123"/>
      <c r="H26" s="124"/>
      <c r="I26" s="275"/>
      <c r="J26" s="273"/>
      <c r="K26" s="124"/>
      <c r="L26" s="124"/>
      <c r="M26" s="275"/>
      <c r="N26" s="146">
        <f t="shared" si="2"/>
        <v>0</v>
      </c>
      <c r="O26" s="90">
        <f t="shared" si="2"/>
        <v>0</v>
      </c>
      <c r="P26" s="279">
        <f t="shared" si="2"/>
        <v>0</v>
      </c>
      <c r="Q26" s="275"/>
      <c r="R26" s="681"/>
    </row>
    <row r="27" spans="1:18" s="76" customFormat="1" ht="48.75" customHeight="1" thickBot="1" x14ac:dyDescent="0.3">
      <c r="A27" s="943" t="s">
        <v>495</v>
      </c>
      <c r="B27" s="101">
        <v>5887000</v>
      </c>
      <c r="C27" s="102">
        <v>5887000</v>
      </c>
      <c r="D27" s="261">
        <v>5484976</v>
      </c>
      <c r="E27" s="949">
        <f t="shared" si="1"/>
        <v>93.170986920332936</v>
      </c>
      <c r="F27" s="252"/>
      <c r="G27" s="103"/>
      <c r="H27" s="141"/>
      <c r="I27" s="715"/>
      <c r="J27" s="272"/>
      <c r="K27" s="120"/>
      <c r="L27" s="120"/>
      <c r="M27" s="288"/>
      <c r="N27" s="277">
        <f t="shared" si="2"/>
        <v>5887000</v>
      </c>
      <c r="O27" s="104">
        <f t="shared" si="2"/>
        <v>5887000</v>
      </c>
      <c r="P27" s="280">
        <f t="shared" si="2"/>
        <v>5484976</v>
      </c>
      <c r="Q27" s="288">
        <f t="shared" si="3"/>
        <v>93.170986920332936</v>
      </c>
      <c r="R27" s="682"/>
    </row>
    <row r="28" spans="1:18" s="18" customFormat="1" ht="15.75" thickBot="1" x14ac:dyDescent="0.3">
      <c r="A28" s="91" t="s">
        <v>50</v>
      </c>
      <c r="B28" s="341">
        <v>44080360</v>
      </c>
      <c r="C28" s="93">
        <v>80121352</v>
      </c>
      <c r="D28" s="342">
        <v>72020564</v>
      </c>
      <c r="E28" s="160">
        <f t="shared" si="1"/>
        <v>89.889351842190578</v>
      </c>
      <c r="F28" s="125">
        <v>45000</v>
      </c>
      <c r="G28" s="93">
        <v>538335</v>
      </c>
      <c r="H28" s="94">
        <v>518147</v>
      </c>
      <c r="I28" s="952">
        <f>H28/G28*100</f>
        <v>96.249918730901769</v>
      </c>
      <c r="J28" s="125">
        <v>384000</v>
      </c>
      <c r="K28" s="94">
        <v>1943000</v>
      </c>
      <c r="L28" s="94">
        <v>762721</v>
      </c>
      <c r="M28" s="160">
        <f>L28/K28*100</f>
        <v>39.254812146165726</v>
      </c>
      <c r="N28" s="125">
        <f t="shared" si="2"/>
        <v>44509360</v>
      </c>
      <c r="O28" s="93">
        <f t="shared" si="2"/>
        <v>82602687</v>
      </c>
      <c r="P28" s="94">
        <f t="shared" si="2"/>
        <v>73301432</v>
      </c>
      <c r="Q28" s="160">
        <f t="shared" si="3"/>
        <v>88.739767024770032</v>
      </c>
      <c r="R28" s="681"/>
    </row>
    <row r="29" spans="1:18" ht="15.75" thickBot="1" x14ac:dyDescent="0.3">
      <c r="A29" s="91" t="s">
        <v>51</v>
      </c>
      <c r="B29" s="159">
        <v>5179650</v>
      </c>
      <c r="C29" s="160">
        <v>11762468</v>
      </c>
      <c r="D29" s="267">
        <v>3046456</v>
      </c>
      <c r="E29" s="160"/>
      <c r="F29" s="170">
        <v>0</v>
      </c>
      <c r="G29" s="36">
        <v>0</v>
      </c>
      <c r="H29" s="161">
        <v>0</v>
      </c>
      <c r="I29" s="160"/>
      <c r="J29" s="170">
        <f>SUM(J31:J32)</f>
        <v>0</v>
      </c>
      <c r="K29" s="161">
        <f>SUM(K31:K32)</f>
        <v>0</v>
      </c>
      <c r="L29" s="161">
        <f>SUM(L31:L32)</f>
        <v>0</v>
      </c>
      <c r="M29" s="160"/>
      <c r="N29" s="125">
        <f t="shared" si="2"/>
        <v>5179650</v>
      </c>
      <c r="O29" s="93">
        <f t="shared" si="2"/>
        <v>11762468</v>
      </c>
      <c r="P29" s="94">
        <f t="shared" si="2"/>
        <v>3046456</v>
      </c>
      <c r="Q29" s="160"/>
    </row>
    <row r="30" spans="1:18" ht="32.25" customHeight="1" thickBot="1" x14ac:dyDescent="0.3">
      <c r="A30" s="333" t="s">
        <v>68</v>
      </c>
      <c r="B30" s="334">
        <v>8038004</v>
      </c>
      <c r="C30" s="335">
        <v>13522040</v>
      </c>
      <c r="D30" s="336">
        <v>14032101</v>
      </c>
      <c r="E30" s="337">
        <f t="shared" si="1"/>
        <v>103.77207137384596</v>
      </c>
      <c r="F30" s="338"/>
      <c r="G30" s="339"/>
      <c r="H30" s="340"/>
      <c r="I30" s="337"/>
      <c r="J30" s="338"/>
      <c r="K30" s="340"/>
      <c r="L30" s="340"/>
      <c r="M30" s="160"/>
      <c r="N30" s="334">
        <f t="shared" si="2"/>
        <v>8038004</v>
      </c>
      <c r="O30" s="335">
        <f t="shared" si="2"/>
        <v>13522040</v>
      </c>
      <c r="P30" s="336">
        <f t="shared" si="2"/>
        <v>14032101</v>
      </c>
      <c r="Q30" s="337">
        <f t="shared" si="3"/>
        <v>103.77207137384596</v>
      </c>
    </row>
    <row r="31" spans="1:18" s="18" customFormat="1" ht="30.75" thickBot="1" x14ac:dyDescent="0.3">
      <c r="A31" s="91" t="s">
        <v>59</v>
      </c>
      <c r="B31" s="125">
        <f>SUM(B32+B33)</f>
        <v>0</v>
      </c>
      <c r="C31" s="125">
        <f t="shared" ref="C31:D31" si="6">SUM(C32+C33)</f>
        <v>0</v>
      </c>
      <c r="D31" s="125">
        <f t="shared" si="6"/>
        <v>0</v>
      </c>
      <c r="E31" s="160"/>
      <c r="F31" s="125">
        <f>SUM(F32:F33)</f>
        <v>0</v>
      </c>
      <c r="G31" s="93">
        <f>SUM(G32)</f>
        <v>0</v>
      </c>
      <c r="H31" s="94">
        <f>SUM(H32)</f>
        <v>0</v>
      </c>
      <c r="I31" s="160"/>
      <c r="J31" s="125">
        <f>SUM(J32)</f>
        <v>0</v>
      </c>
      <c r="K31" s="94">
        <f>SUM(K32)</f>
        <v>0</v>
      </c>
      <c r="L31" s="94">
        <f>SUM(L32)</f>
        <v>0</v>
      </c>
      <c r="M31" s="160"/>
      <c r="N31" s="125">
        <f t="shared" si="2"/>
        <v>0</v>
      </c>
      <c r="O31" s="93">
        <f t="shared" si="2"/>
        <v>0</v>
      </c>
      <c r="P31" s="94">
        <f t="shared" si="2"/>
        <v>0</v>
      </c>
      <c r="Q31" s="160"/>
      <c r="R31" s="681"/>
    </row>
    <row r="32" spans="1:18" s="18" customFormat="1" ht="57.75" x14ac:dyDescent="0.25">
      <c r="A32" s="154" t="s">
        <v>416</v>
      </c>
      <c r="B32" s="96">
        <v>0</v>
      </c>
      <c r="C32" s="97">
        <v>0</v>
      </c>
      <c r="D32" s="332">
        <v>0</v>
      </c>
      <c r="E32" s="349"/>
      <c r="F32" s="250"/>
      <c r="G32" s="98"/>
      <c r="H32" s="139"/>
      <c r="I32" s="290"/>
      <c r="J32" s="250"/>
      <c r="K32" s="139"/>
      <c r="L32" s="139"/>
      <c r="M32" s="290"/>
      <c r="N32" s="278">
        <f t="shared" si="2"/>
        <v>0</v>
      </c>
      <c r="O32" s="153">
        <f t="shared" si="2"/>
        <v>0</v>
      </c>
      <c r="P32" s="281">
        <f t="shared" si="2"/>
        <v>0</v>
      </c>
      <c r="Q32" s="290"/>
      <c r="R32" s="681"/>
    </row>
    <row r="33" spans="1:18" s="18" customFormat="1" ht="48" customHeight="1" thickBot="1" x14ac:dyDescent="0.3">
      <c r="A33" s="167" t="s">
        <v>417</v>
      </c>
      <c r="B33" s="106"/>
      <c r="C33" s="107"/>
      <c r="D33" s="287"/>
      <c r="E33" s="288"/>
      <c r="F33" s="270"/>
      <c r="G33" s="108"/>
      <c r="H33" s="142"/>
      <c r="I33" s="288"/>
      <c r="J33" s="270"/>
      <c r="K33" s="152"/>
      <c r="L33" s="152"/>
      <c r="M33" s="288"/>
      <c r="N33" s="277">
        <f t="shared" si="2"/>
        <v>0</v>
      </c>
      <c r="O33" s="104">
        <f t="shared" si="2"/>
        <v>0</v>
      </c>
      <c r="P33" s="280">
        <f t="shared" si="2"/>
        <v>0</v>
      </c>
      <c r="Q33" s="288"/>
      <c r="R33" s="681"/>
    </row>
    <row r="34" spans="1:18" s="24" customFormat="1" ht="30.75" thickBot="1" x14ac:dyDescent="0.3">
      <c r="A34" s="163" t="s">
        <v>69</v>
      </c>
      <c r="B34" s="289">
        <f>B8+B17+B20+B31+B30+B28+B29</f>
        <v>2695984594</v>
      </c>
      <c r="C34" s="165">
        <f>C8+C17+C20+C31+C30+C28+C29</f>
        <v>3183631014</v>
      </c>
      <c r="D34" s="166">
        <f>D8+D17+D20+D31+D30+D28+D29</f>
        <v>1906703850</v>
      </c>
      <c r="E34" s="160">
        <f t="shared" si="1"/>
        <v>59.890855492212516</v>
      </c>
      <c r="F34" s="164">
        <f>F8+F17+F20+F31+F30+F28+F29</f>
        <v>45000</v>
      </c>
      <c r="G34" s="165">
        <f>G8+G17+G20+G31+G30+G28+G29</f>
        <v>5740639</v>
      </c>
      <c r="H34" s="166">
        <f>H8+H17+H20+H31+H30+H28+H29</f>
        <v>5300774</v>
      </c>
      <c r="I34" s="160">
        <f>H34/G34*100</f>
        <v>92.337699688135771</v>
      </c>
      <c r="J34" s="164">
        <f>J8+J17+J20+J31+J30+J28+J29</f>
        <v>384000</v>
      </c>
      <c r="K34" s="166">
        <f>K8+K17+K20+K31+K30+K28+K29</f>
        <v>2042456</v>
      </c>
      <c r="L34" s="166">
        <f>L8+L17+L20+L31+L30+L28+L29</f>
        <v>812177</v>
      </c>
      <c r="M34" s="160">
        <f>L34/K34*100</f>
        <v>39.764724429804119</v>
      </c>
      <c r="N34" s="125">
        <f t="shared" si="2"/>
        <v>2696413594</v>
      </c>
      <c r="O34" s="93">
        <f t="shared" si="2"/>
        <v>3191414109</v>
      </c>
      <c r="P34" s="94">
        <f t="shared" si="2"/>
        <v>1912816801</v>
      </c>
      <c r="Q34" s="160">
        <f t="shared" si="3"/>
        <v>59.936339681075211</v>
      </c>
      <c r="R34" s="631"/>
    </row>
    <row r="35" spans="1:18" s="24" customFormat="1" ht="15.75" thickBot="1" x14ac:dyDescent="0.3">
      <c r="A35" s="1471" t="s">
        <v>67</v>
      </c>
      <c r="B35" s="1472"/>
      <c r="C35" s="1472"/>
      <c r="D35" s="1472"/>
      <c r="E35" s="1472"/>
      <c r="F35" s="1472"/>
      <c r="G35" s="1472"/>
      <c r="H35" s="1472"/>
      <c r="I35" s="1472"/>
      <c r="J35" s="1472"/>
      <c r="K35" s="1472"/>
      <c r="L35" s="1472"/>
      <c r="M35" s="1472"/>
      <c r="N35" s="1472"/>
      <c r="O35" s="1472"/>
      <c r="P35" s="1472"/>
      <c r="Q35" s="1473"/>
      <c r="R35" s="631"/>
    </row>
    <row r="36" spans="1:18" ht="15.75" thickBot="1" x14ac:dyDescent="0.3">
      <c r="A36" s="293" t="s">
        <v>66</v>
      </c>
      <c r="B36" s="36">
        <f>B37</f>
        <v>237240205</v>
      </c>
      <c r="C36" s="36">
        <f>C37</f>
        <v>243766161</v>
      </c>
      <c r="D36" s="161">
        <f>D37</f>
        <v>180932150</v>
      </c>
      <c r="E36" s="160">
        <f>D36/C36*100</f>
        <v>74.223653216575869</v>
      </c>
      <c r="F36" s="170">
        <f>F37</f>
        <v>122140333</v>
      </c>
      <c r="G36" s="36">
        <f>G37</f>
        <v>123579866</v>
      </c>
      <c r="H36" s="161">
        <f>H37</f>
        <v>115630055</v>
      </c>
      <c r="I36" s="343">
        <f>H36/G36*100</f>
        <v>93.567066175650325</v>
      </c>
      <c r="J36" s="346">
        <f>J37</f>
        <v>13039820</v>
      </c>
      <c r="K36" s="346">
        <f>K37</f>
        <v>13369304</v>
      </c>
      <c r="L36" s="346">
        <f>L37</f>
        <v>12537836</v>
      </c>
      <c r="M36" s="343">
        <f>L36/K36*100</f>
        <v>93.78076824343286</v>
      </c>
      <c r="N36" s="170">
        <f>F36+B36+J36</f>
        <v>372420358</v>
      </c>
      <c r="O36" s="36">
        <f>G36+C36+K36</f>
        <v>380715331</v>
      </c>
      <c r="P36" s="36">
        <f>H36+D36+L36</f>
        <v>309100041</v>
      </c>
      <c r="Q36" s="160">
        <f t="shared" si="3"/>
        <v>81.1892812900671</v>
      </c>
    </row>
    <row r="37" spans="1:18" s="26" customFormat="1" ht="33" customHeight="1" thickBot="1" x14ac:dyDescent="0.3">
      <c r="A37" s="685" t="s">
        <v>60</v>
      </c>
      <c r="B37" s="686">
        <f>B38+B42+B45+B46</f>
        <v>237240205</v>
      </c>
      <c r="C37" s="686">
        <f>C38+C42+C45+C46</f>
        <v>243766161</v>
      </c>
      <c r="D37" s="686">
        <f>D38+D42+D45+D46</f>
        <v>180932150</v>
      </c>
      <c r="E37" s="349">
        <f t="shared" ref="E37:E45" si="7">D37/C37*100</f>
        <v>74.223653216575869</v>
      </c>
      <c r="F37" s="686">
        <f>F38+F42+F46</f>
        <v>122140333</v>
      </c>
      <c r="G37" s="687">
        <f>G38+G42+G46</f>
        <v>123579866</v>
      </c>
      <c r="H37" s="688">
        <f>H38+H42+H46</f>
        <v>115630055</v>
      </c>
      <c r="I37" s="689">
        <f>H37/G37*100</f>
        <v>93.567066175650325</v>
      </c>
      <c r="J37" s="686">
        <f t="shared" ref="J37:L37" si="8">J38+J42+J46</f>
        <v>13039820</v>
      </c>
      <c r="K37" s="687">
        <f t="shared" si="8"/>
        <v>13369304</v>
      </c>
      <c r="L37" s="688">
        <f t="shared" si="8"/>
        <v>12537836</v>
      </c>
      <c r="M37" s="690">
        <f>L37/K37*100</f>
        <v>93.78076824343286</v>
      </c>
      <c r="N37" s="291">
        <f t="shared" ref="N37:P46" si="9">F37+B37+J37</f>
        <v>372420358</v>
      </c>
      <c r="O37" s="292">
        <f t="shared" si="9"/>
        <v>380715331</v>
      </c>
      <c r="P37" s="292">
        <f t="shared" si="9"/>
        <v>309100041</v>
      </c>
      <c r="Q37" s="290">
        <f t="shared" si="3"/>
        <v>81.1892812900671</v>
      </c>
      <c r="R37" s="691"/>
    </row>
    <row r="38" spans="1:18" ht="33" customHeight="1" thickBot="1" x14ac:dyDescent="0.3">
      <c r="A38" s="692" t="s">
        <v>61</v>
      </c>
      <c r="B38" s="126">
        <f>B39+B40+B41</f>
        <v>93203667</v>
      </c>
      <c r="C38" s="126">
        <f>C39+C40+C41</f>
        <v>84313667</v>
      </c>
      <c r="D38" s="126">
        <f>D39+D40+D41</f>
        <v>0</v>
      </c>
      <c r="E38" s="350">
        <f t="shared" si="7"/>
        <v>0</v>
      </c>
      <c r="F38" s="693"/>
      <c r="G38" s="126"/>
      <c r="H38" s="285"/>
      <c r="I38" s="695"/>
      <c r="J38" s="696"/>
      <c r="K38" s="127"/>
      <c r="L38" s="282"/>
      <c r="M38" s="275"/>
      <c r="N38" s="170">
        <f t="shared" si="9"/>
        <v>93203667</v>
      </c>
      <c r="O38" s="36">
        <f>G38+C38+K38</f>
        <v>84313667</v>
      </c>
      <c r="P38" s="36">
        <f t="shared" si="9"/>
        <v>0</v>
      </c>
      <c r="Q38" s="275">
        <f t="shared" si="3"/>
        <v>0</v>
      </c>
    </row>
    <row r="39" spans="1:18" ht="33" customHeight="1" thickBot="1" x14ac:dyDescent="0.3">
      <c r="A39" s="692" t="s">
        <v>142</v>
      </c>
      <c r="B39" s="693">
        <v>93203667</v>
      </c>
      <c r="C39" s="126">
        <v>84313667</v>
      </c>
      <c r="D39" s="694"/>
      <c r="E39" s="350">
        <f t="shared" si="7"/>
        <v>0</v>
      </c>
      <c r="F39" s="693"/>
      <c r="G39" s="126"/>
      <c r="H39" s="285"/>
      <c r="I39" s="695"/>
      <c r="J39" s="696"/>
      <c r="K39" s="127"/>
      <c r="L39" s="282"/>
      <c r="M39" s="275"/>
      <c r="N39" s="170">
        <f t="shared" si="9"/>
        <v>93203667</v>
      </c>
      <c r="O39" s="36">
        <f t="shared" si="9"/>
        <v>84313667</v>
      </c>
      <c r="P39" s="36">
        <f t="shared" si="9"/>
        <v>0</v>
      </c>
      <c r="Q39" s="275">
        <f t="shared" si="3"/>
        <v>0</v>
      </c>
    </row>
    <row r="40" spans="1:18" ht="33" customHeight="1" thickBot="1" x14ac:dyDescent="0.3">
      <c r="A40" s="692" t="s">
        <v>418</v>
      </c>
      <c r="B40" s="693">
        <v>0</v>
      </c>
      <c r="C40" s="126">
        <v>0</v>
      </c>
      <c r="D40" s="694">
        <v>0</v>
      </c>
      <c r="E40" s="350"/>
      <c r="F40" s="693"/>
      <c r="G40" s="126"/>
      <c r="H40" s="285"/>
      <c r="I40" s="695"/>
      <c r="J40" s="696"/>
      <c r="K40" s="127"/>
      <c r="L40" s="282"/>
      <c r="M40" s="275"/>
      <c r="N40" s="170">
        <f t="shared" si="9"/>
        <v>0</v>
      </c>
      <c r="O40" s="36">
        <f t="shared" si="9"/>
        <v>0</v>
      </c>
      <c r="P40" s="36">
        <f t="shared" si="9"/>
        <v>0</v>
      </c>
      <c r="Q40" s="275"/>
    </row>
    <row r="41" spans="1:18" ht="33" customHeight="1" thickBot="1" x14ac:dyDescent="0.3">
      <c r="A41" s="692" t="s">
        <v>164</v>
      </c>
      <c r="B41" s="693">
        <v>0</v>
      </c>
      <c r="C41" s="126">
        <v>0</v>
      </c>
      <c r="D41" s="694">
        <v>0</v>
      </c>
      <c r="E41" s="350"/>
      <c r="F41" s="693"/>
      <c r="G41" s="126"/>
      <c r="H41" s="285"/>
      <c r="I41" s="695"/>
      <c r="J41" s="696"/>
      <c r="K41" s="127"/>
      <c r="L41" s="282"/>
      <c r="M41" s="275"/>
      <c r="N41" s="170">
        <f t="shared" si="9"/>
        <v>0</v>
      </c>
      <c r="O41" s="36">
        <f t="shared" si="9"/>
        <v>0</v>
      </c>
      <c r="P41" s="36">
        <f t="shared" si="9"/>
        <v>0</v>
      </c>
      <c r="Q41" s="275"/>
    </row>
    <row r="42" spans="1:18" s="26" customFormat="1" ht="15.75" thickBot="1" x14ac:dyDescent="0.3">
      <c r="A42" s="697" t="s">
        <v>62</v>
      </c>
      <c r="B42" s="698">
        <f t="shared" ref="B42:J42" si="10">SUM(B43:B44)</f>
        <v>132986557</v>
      </c>
      <c r="C42" s="171">
        <f t="shared" si="10"/>
        <v>139845112</v>
      </c>
      <c r="D42" s="171">
        <f t="shared" si="10"/>
        <v>162246233</v>
      </c>
      <c r="E42" s="350">
        <f t="shared" si="7"/>
        <v>116.01852269244847</v>
      </c>
      <c r="F42" s="698">
        <f t="shared" si="10"/>
        <v>2068000</v>
      </c>
      <c r="G42" s="171">
        <f>SUM(G43:G44)</f>
        <v>65074</v>
      </c>
      <c r="H42" s="171">
        <f>SUM(H43:H44)</f>
        <v>65074</v>
      </c>
      <c r="I42" s="283"/>
      <c r="J42" s="698">
        <f t="shared" si="10"/>
        <v>200000</v>
      </c>
      <c r="K42" s="171">
        <f>SUM(K43)</f>
        <v>200000</v>
      </c>
      <c r="L42" s="171">
        <f>SUM(L43)</f>
        <v>190248</v>
      </c>
      <c r="M42" s="690"/>
      <c r="N42" s="170">
        <f t="shared" si="9"/>
        <v>135254557</v>
      </c>
      <c r="O42" s="36">
        <f>G42+C42+K42</f>
        <v>140110186</v>
      </c>
      <c r="P42" s="36">
        <f>H42+D42+L42</f>
        <v>162501555</v>
      </c>
      <c r="Q42" s="275">
        <f>P42/O42*100</f>
        <v>115.98125706577822</v>
      </c>
      <c r="R42" s="691"/>
    </row>
    <row r="43" spans="1:18" s="78" customFormat="1" ht="15.75" thickBot="1" x14ac:dyDescent="0.3">
      <c r="A43" s="692" t="s">
        <v>64</v>
      </c>
      <c r="B43" s="693">
        <v>88357041</v>
      </c>
      <c r="C43" s="126">
        <v>88357041</v>
      </c>
      <c r="D43" s="694">
        <v>110758162</v>
      </c>
      <c r="E43" s="350">
        <f t="shared" si="7"/>
        <v>125.35295517648673</v>
      </c>
      <c r="F43" s="699">
        <v>2068000</v>
      </c>
      <c r="G43" s="128">
        <v>65074</v>
      </c>
      <c r="H43" s="286">
        <v>65074</v>
      </c>
      <c r="I43" s="700"/>
      <c r="J43" s="701">
        <v>200000</v>
      </c>
      <c r="K43" s="129">
        <v>200000</v>
      </c>
      <c r="L43" s="284">
        <v>190248</v>
      </c>
      <c r="M43" s="275"/>
      <c r="N43" s="170">
        <f t="shared" si="9"/>
        <v>90625041</v>
      </c>
      <c r="O43" s="36">
        <f t="shared" si="9"/>
        <v>88622115</v>
      </c>
      <c r="P43" s="36">
        <f t="shared" si="9"/>
        <v>111013484</v>
      </c>
      <c r="Q43" s="275">
        <f>P43/O43*100</f>
        <v>125.26611895913339</v>
      </c>
      <c r="R43" s="702"/>
    </row>
    <row r="44" spans="1:18" ht="15.75" thickBot="1" x14ac:dyDescent="0.3">
      <c r="A44" s="703" t="s">
        <v>63</v>
      </c>
      <c r="B44" s="704">
        <v>44629516</v>
      </c>
      <c r="C44" s="123">
        <f>B44+6858555</f>
        <v>51488071</v>
      </c>
      <c r="D44" s="705">
        <v>51488071</v>
      </c>
      <c r="E44" s="351">
        <f t="shared" si="7"/>
        <v>100</v>
      </c>
      <c r="F44" s="704"/>
      <c r="G44" s="123"/>
      <c r="H44" s="124"/>
      <c r="I44" s="695"/>
      <c r="J44" s="706"/>
      <c r="K44" s="127"/>
      <c r="L44" s="282"/>
      <c r="M44" s="275"/>
      <c r="N44" s="346">
        <f t="shared" si="9"/>
        <v>44629516</v>
      </c>
      <c r="O44" s="347">
        <f t="shared" si="9"/>
        <v>51488071</v>
      </c>
      <c r="P44" s="347">
        <f t="shared" si="9"/>
        <v>51488071</v>
      </c>
      <c r="Q44" s="275">
        <f>P44/O44*100</f>
        <v>100</v>
      </c>
    </row>
    <row r="45" spans="1:18" ht="30" thickBot="1" x14ac:dyDescent="0.3">
      <c r="A45" s="707" t="s">
        <v>399</v>
      </c>
      <c r="B45" s="693">
        <v>11049981</v>
      </c>
      <c r="C45" s="126">
        <v>19607382</v>
      </c>
      <c r="D45" s="694">
        <v>18685917</v>
      </c>
      <c r="E45" s="351">
        <f t="shared" si="7"/>
        <v>95.300417975229948</v>
      </c>
      <c r="F45" s="708"/>
      <c r="G45" s="709"/>
      <c r="H45" s="710"/>
      <c r="I45" s="711"/>
      <c r="J45" s="712"/>
      <c r="K45" s="713"/>
      <c r="L45" s="714"/>
      <c r="M45" s="715"/>
      <c r="N45" s="346">
        <f t="shared" si="9"/>
        <v>11049981</v>
      </c>
      <c r="O45" s="347">
        <f t="shared" si="9"/>
        <v>19607382</v>
      </c>
      <c r="P45" s="347">
        <f t="shared" si="9"/>
        <v>18685917</v>
      </c>
      <c r="Q45" s="275"/>
    </row>
    <row r="46" spans="1:18" ht="33" customHeight="1" thickBot="1" x14ac:dyDescent="0.3">
      <c r="A46" s="716" t="s">
        <v>65</v>
      </c>
      <c r="B46" s="717"/>
      <c r="C46" s="718"/>
      <c r="D46" s="719"/>
      <c r="E46" s="348"/>
      <c r="F46" s="720">
        <v>120072333</v>
      </c>
      <c r="G46" s="718">
        <v>123514792</v>
      </c>
      <c r="H46" s="721">
        <v>115564981</v>
      </c>
      <c r="I46" s="722">
        <f>H46/G46*100</f>
        <v>93.563676972390482</v>
      </c>
      <c r="J46" s="723">
        <v>12839820</v>
      </c>
      <c r="K46" s="724">
        <v>13169304</v>
      </c>
      <c r="L46" s="725">
        <v>12347588</v>
      </c>
      <c r="M46" s="722">
        <f>L46/K46*100</f>
        <v>93.760368809164092</v>
      </c>
      <c r="N46" s="170">
        <f t="shared" si="9"/>
        <v>132912153</v>
      </c>
      <c r="O46" s="36">
        <f t="shared" si="9"/>
        <v>136684096</v>
      </c>
      <c r="P46" s="36">
        <f t="shared" si="9"/>
        <v>127912569</v>
      </c>
      <c r="Q46" s="160">
        <f t="shared" si="3"/>
        <v>93.582627930611622</v>
      </c>
    </row>
    <row r="47" spans="1:18" s="21" customFormat="1" ht="21.75" customHeight="1" x14ac:dyDescent="0.25">
      <c r="A47" s="37"/>
      <c r="B47" s="37"/>
      <c r="C47" s="37"/>
      <c r="D47" s="37"/>
      <c r="E47" s="37"/>
      <c r="F47" s="38"/>
      <c r="G47" s="38"/>
      <c r="H47" s="38"/>
      <c r="I47" s="38"/>
      <c r="J47" s="38"/>
      <c r="K47" s="38"/>
      <c r="L47" s="38"/>
      <c r="M47" s="38"/>
      <c r="N47" s="39"/>
      <c r="O47" s="41"/>
      <c r="P47" s="41"/>
      <c r="Q47" s="40"/>
      <c r="R47" s="726"/>
    </row>
    <row r="48" spans="1:18" ht="15" x14ac:dyDescent="0.25">
      <c r="A48" s="37"/>
      <c r="B48" s="37"/>
      <c r="C48" s="37"/>
      <c r="D48" s="37"/>
      <c r="E48" s="37"/>
      <c r="F48" s="38"/>
      <c r="G48" s="38"/>
      <c r="H48" s="38"/>
      <c r="I48" s="38"/>
      <c r="J48" s="38"/>
      <c r="K48" s="38"/>
      <c r="L48" s="38"/>
      <c r="M48" s="38"/>
      <c r="N48" s="41"/>
      <c r="O48" s="41"/>
      <c r="P48" s="41"/>
      <c r="Q48" s="40"/>
    </row>
    <row r="49" spans="1:17" s="590" customFormat="1" ht="12.75" x14ac:dyDescent="0.2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</row>
    <row r="50" spans="1:17" ht="15" x14ac:dyDescent="0.25">
      <c r="A50" s="42"/>
      <c r="B50" s="42"/>
      <c r="C50" s="42"/>
      <c r="D50" s="42"/>
      <c r="E50" s="42"/>
      <c r="F50" s="40"/>
      <c r="G50" s="40"/>
      <c r="H50" s="40"/>
      <c r="I50" s="40"/>
      <c r="J50" s="40"/>
      <c r="K50" s="40"/>
      <c r="L50" s="40"/>
      <c r="M50" s="40"/>
      <c r="N50" s="41"/>
      <c r="O50" s="41"/>
      <c r="P50" s="41"/>
      <c r="Q50" s="40"/>
    </row>
    <row r="51" spans="1:17" x14ac:dyDescent="0.2">
      <c r="J51" s="43"/>
      <c r="K51" s="43"/>
      <c r="L51" s="43"/>
      <c r="M51" s="43"/>
      <c r="N51" s="43"/>
      <c r="O51" s="43"/>
      <c r="P51" s="43"/>
    </row>
    <row r="52" spans="1:17" x14ac:dyDescent="0.2">
      <c r="Q52" s="45"/>
    </row>
  </sheetData>
  <mergeCells count="8">
    <mergeCell ref="A35:Q35"/>
    <mergeCell ref="A3:Q3"/>
    <mergeCell ref="N5:Q5"/>
    <mergeCell ref="A6:A7"/>
    <mergeCell ref="B6:E6"/>
    <mergeCell ref="F6:I6"/>
    <mergeCell ref="J6:M6"/>
    <mergeCell ref="N6:Q6"/>
  </mergeCells>
  <pageMargins left="0.19685039370078741" right="0.19685039370078741" top="0.74803149606299213" bottom="0.39370078740157483" header="0.51181102362204722" footer="0.51181102362204722"/>
  <pageSetup paperSize="9" scale="40" orientation="portrait" r:id="rId1"/>
  <headerFooter alignWithMargins="0">
    <oddHeader>&amp;R1.sz. melléklet
........./2019.(V.30.) Egyek Önk.r.</oddHeader>
  </headerFooter>
  <rowBreaks count="1" manualBreakCount="1">
    <brk id="4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5"/>
  <sheetViews>
    <sheetView topLeftCell="A396" zoomScale="110" zoomScaleNormal="110" zoomScaleSheetLayoutView="90" workbookViewId="0">
      <selection activeCell="C431" sqref="C431"/>
    </sheetView>
  </sheetViews>
  <sheetFormatPr defaultRowHeight="12.75" x14ac:dyDescent="0.2"/>
  <cols>
    <col min="1" max="1" width="30.7109375" style="24" customWidth="1"/>
    <col min="2" max="2" width="49" style="24" customWidth="1"/>
    <col min="3" max="3" width="19.140625" style="848" customWidth="1"/>
    <col min="4" max="4" width="17.28515625" style="848" customWidth="1"/>
    <col min="5" max="5" width="21" style="848" customWidth="1"/>
    <col min="6" max="6" width="14.5703125" style="848" customWidth="1"/>
    <col min="7" max="7" width="18" customWidth="1"/>
    <col min="8" max="8" width="12.5703125" customWidth="1"/>
    <col min="9" max="9" width="17.85546875" customWidth="1"/>
    <col min="10" max="10" width="16.7109375" customWidth="1"/>
    <col min="11" max="11" width="17.28515625" customWidth="1"/>
    <col min="12" max="12" width="14.42578125" customWidth="1"/>
  </cols>
  <sheetData>
    <row r="1" spans="1:11" ht="42.75" customHeight="1" x14ac:dyDescent="0.25">
      <c r="A1" s="1535" t="s">
        <v>580</v>
      </c>
      <c r="B1" s="1535"/>
      <c r="C1" s="1535"/>
      <c r="D1" s="1535"/>
      <c r="E1" s="1535"/>
      <c r="F1" s="1535"/>
      <c r="G1" s="847"/>
      <c r="H1" s="1111"/>
      <c r="I1" s="1111"/>
      <c r="J1" s="1111"/>
      <c r="K1" s="1111"/>
    </row>
    <row r="2" spans="1:11" x14ac:dyDescent="0.2">
      <c r="E2" s="1528" t="s">
        <v>184</v>
      </c>
      <c r="F2" s="1528"/>
      <c r="G2" s="591"/>
    </row>
    <row r="3" spans="1:11" ht="13.5" thickBot="1" x14ac:dyDescent="0.25">
      <c r="C3" s="24"/>
      <c r="G3" s="24"/>
      <c r="K3" s="71"/>
    </row>
    <row r="4" spans="1:11" ht="13.5" thickBot="1" x14ac:dyDescent="0.25">
      <c r="A4" s="849" t="s">
        <v>72</v>
      </c>
      <c r="B4" s="850" t="s">
        <v>24</v>
      </c>
      <c r="C4" s="851" t="s">
        <v>156</v>
      </c>
      <c r="D4" s="851" t="s">
        <v>148</v>
      </c>
      <c r="E4" s="851" t="s">
        <v>149</v>
      </c>
      <c r="F4" s="851" t="s">
        <v>150</v>
      </c>
      <c r="G4" s="24"/>
      <c r="K4" s="1"/>
    </row>
    <row r="5" spans="1:11" x14ac:dyDescent="0.2">
      <c r="A5" s="1524" t="s">
        <v>430</v>
      </c>
      <c r="B5" s="852" t="s">
        <v>88</v>
      </c>
      <c r="C5" s="853">
        <v>33903836</v>
      </c>
      <c r="D5" s="853">
        <v>36192094</v>
      </c>
      <c r="E5" s="853">
        <v>35624165</v>
      </c>
      <c r="F5" s="867">
        <f>E5/D5*100</f>
        <v>98.430792647698141</v>
      </c>
      <c r="G5" s="24"/>
      <c r="K5" s="1"/>
    </row>
    <row r="6" spans="1:11" ht="25.5" x14ac:dyDescent="0.2">
      <c r="A6" s="1525"/>
      <c r="B6" s="855" t="s">
        <v>101</v>
      </c>
      <c r="C6" s="727">
        <v>6836538</v>
      </c>
      <c r="D6" s="727">
        <v>6699192</v>
      </c>
      <c r="E6" s="727">
        <v>6599521</v>
      </c>
      <c r="F6" s="867">
        <f t="shared" ref="F6:F13" si="0">E6/D6*100</f>
        <v>98.512193709330916</v>
      </c>
      <c r="G6" s="24"/>
    </row>
    <row r="7" spans="1:11" x14ac:dyDescent="0.2">
      <c r="A7" s="1525"/>
      <c r="B7" s="855" t="s">
        <v>90</v>
      </c>
      <c r="C7" s="727">
        <v>5649600</v>
      </c>
      <c r="D7" s="727">
        <v>15693591</v>
      </c>
      <c r="E7" s="727">
        <v>12572214</v>
      </c>
      <c r="F7" s="867">
        <f t="shared" si="0"/>
        <v>80.110498610547452</v>
      </c>
      <c r="G7" s="24"/>
    </row>
    <row r="8" spans="1:11" x14ac:dyDescent="0.2">
      <c r="A8" s="1525"/>
      <c r="B8" s="855" t="s">
        <v>102</v>
      </c>
      <c r="C8" s="727"/>
      <c r="D8" s="727"/>
      <c r="E8" s="727"/>
      <c r="F8" s="867"/>
      <c r="G8" s="24"/>
    </row>
    <row r="9" spans="1:11" ht="25.5" x14ac:dyDescent="0.2">
      <c r="A9" s="1525"/>
      <c r="B9" s="855" t="s">
        <v>97</v>
      </c>
      <c r="C9" s="727">
        <v>1910610</v>
      </c>
      <c r="D9" s="727">
        <v>12953558</v>
      </c>
      <c r="E9" s="727">
        <v>12953558</v>
      </c>
      <c r="F9" s="867">
        <f t="shared" si="0"/>
        <v>100</v>
      </c>
      <c r="G9" s="24"/>
    </row>
    <row r="10" spans="1:11" x14ac:dyDescent="0.2">
      <c r="A10" s="1525"/>
      <c r="B10" s="855" t="s">
        <v>103</v>
      </c>
      <c r="C10" s="727">
        <v>4330000</v>
      </c>
      <c r="D10" s="727"/>
      <c r="E10" s="727"/>
      <c r="F10" s="867"/>
      <c r="G10" s="24"/>
    </row>
    <row r="11" spans="1:11" x14ac:dyDescent="0.2">
      <c r="A11" s="1525"/>
      <c r="B11" s="855" t="s">
        <v>92</v>
      </c>
      <c r="C11" s="727">
        <v>2474540</v>
      </c>
      <c r="D11" s="727">
        <v>2497945</v>
      </c>
      <c r="E11" s="727">
        <v>2472937</v>
      </c>
      <c r="F11" s="867">
        <f t="shared" si="0"/>
        <v>98.998857060503724</v>
      </c>
      <c r="G11" s="24"/>
    </row>
    <row r="12" spans="1:11" s="742" customFormat="1" x14ac:dyDescent="0.2">
      <c r="A12" s="1525"/>
      <c r="B12" s="855" t="s">
        <v>93</v>
      </c>
      <c r="C12" s="741"/>
      <c r="D12" s="741"/>
      <c r="E12" s="741"/>
      <c r="F12" s="867"/>
      <c r="G12" s="856"/>
    </row>
    <row r="13" spans="1:11" s="742" customFormat="1" x14ac:dyDescent="0.2">
      <c r="A13" s="1525"/>
      <c r="B13" s="855" t="s">
        <v>94</v>
      </c>
      <c r="C13" s="741"/>
      <c r="D13" s="741">
        <v>1500000</v>
      </c>
      <c r="E13" s="741">
        <v>1500000</v>
      </c>
      <c r="F13" s="867">
        <f t="shared" si="0"/>
        <v>100</v>
      </c>
      <c r="G13" s="856"/>
    </row>
    <row r="14" spans="1:11" s="742" customFormat="1" ht="13.5" thickBot="1" x14ac:dyDescent="0.25">
      <c r="A14" s="1525"/>
      <c r="B14" s="857" t="s">
        <v>104</v>
      </c>
      <c r="C14" s="743"/>
      <c r="D14" s="743"/>
      <c r="E14" s="743"/>
      <c r="F14" s="867"/>
      <c r="G14" s="856"/>
    </row>
    <row r="15" spans="1:11" s="742" customFormat="1" ht="13.5" thickBot="1" x14ac:dyDescent="0.25">
      <c r="A15" s="1525"/>
      <c r="B15" s="858" t="s">
        <v>14</v>
      </c>
      <c r="C15" s="749">
        <f>SUM(C5:C14)</f>
        <v>55105124</v>
      </c>
      <c r="D15" s="749">
        <f>SUM(D5:D14)</f>
        <v>75536380</v>
      </c>
      <c r="E15" s="749">
        <f>SUM(E5:E14)</f>
        <v>71722395</v>
      </c>
      <c r="F15" s="859">
        <f>E15/D15*100</f>
        <v>94.950797218505841</v>
      </c>
      <c r="G15" s="856"/>
    </row>
    <row r="16" spans="1:11" ht="13.15" customHeight="1" x14ac:dyDescent="0.2">
      <c r="A16" s="1526" t="s">
        <v>431</v>
      </c>
      <c r="B16" s="852" t="s">
        <v>88</v>
      </c>
      <c r="C16" s="853"/>
      <c r="D16" s="853"/>
      <c r="E16" s="853"/>
      <c r="F16" s="867">
        <v>100</v>
      </c>
      <c r="G16" s="24"/>
    </row>
    <row r="17" spans="1:7" ht="25.5" x14ac:dyDescent="0.2">
      <c r="A17" s="1527"/>
      <c r="B17" s="855" t="s">
        <v>101</v>
      </c>
      <c r="C17" s="727"/>
      <c r="D17" s="727"/>
      <c r="E17" s="727"/>
      <c r="F17" s="867"/>
      <c r="G17" s="24"/>
    </row>
    <row r="18" spans="1:7" x14ac:dyDescent="0.2">
      <c r="A18" s="1527"/>
      <c r="B18" s="855" t="s">
        <v>90</v>
      </c>
      <c r="C18" s="727">
        <v>75000</v>
      </c>
      <c r="D18" s="727">
        <v>201000</v>
      </c>
      <c r="E18" s="727">
        <v>180863</v>
      </c>
      <c r="F18" s="867">
        <f>E18/D18*100</f>
        <v>89.981592039801001</v>
      </c>
      <c r="G18" s="24"/>
    </row>
    <row r="19" spans="1:7" x14ac:dyDescent="0.2">
      <c r="A19" s="1527"/>
      <c r="B19" s="855" t="s">
        <v>102</v>
      </c>
      <c r="C19" s="727"/>
      <c r="D19" s="727"/>
      <c r="E19" s="727"/>
      <c r="F19" s="854"/>
      <c r="G19" s="24"/>
    </row>
    <row r="20" spans="1:7" ht="25.5" x14ac:dyDescent="0.2">
      <c r="A20" s="1527"/>
      <c r="B20" s="855" t="s">
        <v>97</v>
      </c>
      <c r="C20" s="727"/>
      <c r="D20" s="727"/>
      <c r="E20" s="727"/>
      <c r="F20" s="854"/>
      <c r="G20" s="24"/>
    </row>
    <row r="21" spans="1:7" x14ac:dyDescent="0.2">
      <c r="A21" s="1527"/>
      <c r="B21" s="855" t="s">
        <v>103</v>
      </c>
      <c r="C21" s="727"/>
      <c r="D21" s="727"/>
      <c r="E21" s="727"/>
      <c r="F21" s="854"/>
      <c r="G21" s="24"/>
    </row>
    <row r="22" spans="1:7" x14ac:dyDescent="0.2">
      <c r="A22" s="1527"/>
      <c r="B22" s="855" t="s">
        <v>92</v>
      </c>
      <c r="C22" s="727"/>
      <c r="D22" s="727"/>
      <c r="E22" s="727"/>
      <c r="F22" s="854"/>
      <c r="G22" s="24"/>
    </row>
    <row r="23" spans="1:7" s="742" customFormat="1" x14ac:dyDescent="0.2">
      <c r="A23" s="1527"/>
      <c r="B23" s="855" t="s">
        <v>93</v>
      </c>
      <c r="C23" s="741"/>
      <c r="D23" s="741"/>
      <c r="E23" s="741"/>
      <c r="F23" s="854"/>
      <c r="G23" s="856"/>
    </row>
    <row r="24" spans="1:7" s="742" customFormat="1" x14ac:dyDescent="0.2">
      <c r="A24" s="1527"/>
      <c r="B24" s="855" t="s">
        <v>94</v>
      </c>
      <c r="C24" s="741"/>
      <c r="D24" s="741"/>
      <c r="E24" s="741"/>
      <c r="F24" s="854"/>
      <c r="G24" s="856"/>
    </row>
    <row r="25" spans="1:7" s="742" customFormat="1" ht="13.5" thickBot="1" x14ac:dyDescent="0.25">
      <c r="A25" s="1527"/>
      <c r="B25" s="857" t="s">
        <v>104</v>
      </c>
      <c r="C25" s="743"/>
      <c r="D25" s="743"/>
      <c r="E25" s="743"/>
      <c r="F25" s="854"/>
      <c r="G25" s="856"/>
    </row>
    <row r="26" spans="1:7" s="742" customFormat="1" ht="13.5" thickBot="1" x14ac:dyDescent="0.25">
      <c r="A26" s="1527"/>
      <c r="B26" s="858" t="s">
        <v>14</v>
      </c>
      <c r="C26" s="749">
        <f>SUM(C16:C25)</f>
        <v>75000</v>
      </c>
      <c r="D26" s="749">
        <f>SUM(D16:D25)</f>
        <v>201000</v>
      </c>
      <c r="E26" s="749">
        <f>SUM(E16:E25)</f>
        <v>180863</v>
      </c>
      <c r="F26" s="859"/>
      <c r="G26" s="856"/>
    </row>
    <row r="27" spans="1:7" s="742" customFormat="1" ht="13.15" customHeight="1" x14ac:dyDescent="0.2">
      <c r="A27" s="1526" t="s">
        <v>73</v>
      </c>
      <c r="B27" s="860" t="s">
        <v>88</v>
      </c>
      <c r="C27" s="853"/>
      <c r="D27" s="853"/>
      <c r="E27" s="853"/>
      <c r="F27" s="861"/>
      <c r="G27" s="856"/>
    </row>
    <row r="28" spans="1:7" s="742" customFormat="1" ht="25.5" x14ac:dyDescent="0.2">
      <c r="A28" s="1527"/>
      <c r="B28" s="862" t="s">
        <v>101</v>
      </c>
      <c r="C28" s="727"/>
      <c r="D28" s="727"/>
      <c r="E28" s="727"/>
      <c r="F28" s="854"/>
      <c r="G28" s="856"/>
    </row>
    <row r="29" spans="1:7" s="742" customFormat="1" x14ac:dyDescent="0.2">
      <c r="A29" s="1527"/>
      <c r="B29" s="862" t="s">
        <v>90</v>
      </c>
      <c r="C29" s="727">
        <v>17183622</v>
      </c>
      <c r="D29" s="727">
        <v>23897766</v>
      </c>
      <c r="E29" s="727">
        <v>17886467</v>
      </c>
      <c r="F29" s="867">
        <f>E29/D29*100</f>
        <v>74.845770102527581</v>
      </c>
      <c r="G29" s="856"/>
    </row>
    <row r="30" spans="1:7" s="742" customFormat="1" x14ac:dyDescent="0.2">
      <c r="A30" s="1527"/>
      <c r="B30" s="862" t="s">
        <v>102</v>
      </c>
      <c r="C30" s="727"/>
      <c r="D30" s="727"/>
      <c r="E30" s="727"/>
      <c r="F30" s="854"/>
      <c r="G30" s="856"/>
    </row>
    <row r="31" spans="1:7" s="742" customFormat="1" ht="25.5" x14ac:dyDescent="0.2">
      <c r="A31" s="1527"/>
      <c r="B31" s="862" t="s">
        <v>97</v>
      </c>
      <c r="C31" s="727">
        <v>6624673</v>
      </c>
      <c r="D31" s="727">
        <v>9781617</v>
      </c>
      <c r="E31" s="727">
        <v>9837268</v>
      </c>
      <c r="F31" s="867">
        <f>E31/D31*100</f>
        <v>100.56893456368205</v>
      </c>
      <c r="G31" s="856"/>
    </row>
    <row r="32" spans="1:7" s="742" customFormat="1" x14ac:dyDescent="0.2">
      <c r="A32" s="1527"/>
      <c r="B32" s="862" t="s">
        <v>103</v>
      </c>
      <c r="C32" s="727"/>
      <c r="D32" s="727"/>
      <c r="E32" s="727"/>
      <c r="F32" s="854"/>
      <c r="G32" s="856"/>
    </row>
    <row r="33" spans="1:7" s="742" customFormat="1" x14ac:dyDescent="0.2">
      <c r="A33" s="1527"/>
      <c r="B33" s="862" t="s">
        <v>92</v>
      </c>
      <c r="C33" s="727">
        <v>61333996</v>
      </c>
      <c r="D33" s="727">
        <v>52406007</v>
      </c>
      <c r="E33" s="727">
        <v>17025885</v>
      </c>
      <c r="F33" s="867">
        <f>E33/D33*100</f>
        <v>32.488422558123922</v>
      </c>
      <c r="G33" s="856"/>
    </row>
    <row r="34" spans="1:7" s="742" customFormat="1" x14ac:dyDescent="0.2">
      <c r="A34" s="1527"/>
      <c r="B34" s="862" t="s">
        <v>93</v>
      </c>
      <c r="C34" s="741"/>
      <c r="D34" s="747">
        <v>3642638</v>
      </c>
      <c r="E34" s="741">
        <v>2953789</v>
      </c>
      <c r="F34" s="867">
        <f>E34/D34*100</f>
        <v>81.08928199837591</v>
      </c>
      <c r="G34" s="856"/>
    </row>
    <row r="35" spans="1:7" s="742" customFormat="1" x14ac:dyDescent="0.2">
      <c r="A35" s="1527"/>
      <c r="B35" s="862" t="s">
        <v>94</v>
      </c>
      <c r="C35" s="741"/>
      <c r="D35" s="747"/>
      <c r="E35" s="741"/>
      <c r="F35" s="867"/>
      <c r="G35" s="856"/>
    </row>
    <row r="36" spans="1:7" s="742" customFormat="1" ht="13.5" thickBot="1" x14ac:dyDescent="0.25">
      <c r="A36" s="1527"/>
      <c r="B36" s="863" t="s">
        <v>104</v>
      </c>
      <c r="C36" s="743"/>
      <c r="D36" s="748"/>
      <c r="E36" s="743"/>
      <c r="F36" s="868"/>
      <c r="G36" s="856"/>
    </row>
    <row r="37" spans="1:7" s="742" customFormat="1" ht="13.5" thickBot="1" x14ac:dyDescent="0.25">
      <c r="A37" s="1527"/>
      <c r="B37" s="858" t="s">
        <v>14</v>
      </c>
      <c r="C37" s="749">
        <f>SUM(C27:C36)</f>
        <v>85142291</v>
      </c>
      <c r="D37" s="749">
        <f>SUM(D27:D36)</f>
        <v>89728028</v>
      </c>
      <c r="E37" s="749">
        <f>SUM(E27:E36)</f>
        <v>47703409</v>
      </c>
      <c r="F37" s="859">
        <f>E37/D37*100</f>
        <v>53.164446007885068</v>
      </c>
      <c r="G37" s="856"/>
    </row>
    <row r="38" spans="1:7" ht="17.25" customHeight="1" x14ac:dyDescent="0.2">
      <c r="A38" s="1526" t="s">
        <v>74</v>
      </c>
      <c r="B38" s="860" t="s">
        <v>88</v>
      </c>
      <c r="C38" s="865"/>
      <c r="D38" s="865"/>
      <c r="E38" s="865"/>
      <c r="F38" s="861"/>
      <c r="G38" s="24"/>
    </row>
    <row r="39" spans="1:7" ht="25.5" x14ac:dyDescent="0.2">
      <c r="A39" s="1527"/>
      <c r="B39" s="862" t="s">
        <v>101</v>
      </c>
      <c r="C39" s="747"/>
      <c r="D39" s="747"/>
      <c r="E39" s="747"/>
      <c r="F39" s="854"/>
      <c r="G39" s="24"/>
    </row>
    <row r="40" spans="1:7" ht="17.25" customHeight="1" x14ac:dyDescent="0.2">
      <c r="A40" s="1527"/>
      <c r="B40" s="862" t="s">
        <v>90</v>
      </c>
      <c r="C40" s="747"/>
      <c r="D40" s="747"/>
      <c r="E40" s="747"/>
      <c r="F40" s="854"/>
      <c r="G40" s="24"/>
    </row>
    <row r="41" spans="1:7" ht="17.25" customHeight="1" x14ac:dyDescent="0.2">
      <c r="A41" s="1527"/>
      <c r="B41" s="862" t="s">
        <v>102</v>
      </c>
      <c r="C41" s="747"/>
      <c r="D41" s="747"/>
      <c r="E41" s="747"/>
      <c r="F41" s="854"/>
      <c r="G41" s="24"/>
    </row>
    <row r="42" spans="1:7" ht="21.75" customHeight="1" x14ac:dyDescent="0.2">
      <c r="A42" s="1527"/>
      <c r="B42" s="862" t="s">
        <v>97</v>
      </c>
      <c r="C42" s="747">
        <v>84360</v>
      </c>
      <c r="D42" s="747">
        <v>84360</v>
      </c>
      <c r="E42" s="747">
        <v>84360</v>
      </c>
      <c r="F42" s="867">
        <f>E42/D42*100</f>
        <v>100</v>
      </c>
      <c r="G42" s="24"/>
    </row>
    <row r="43" spans="1:7" ht="17.25" customHeight="1" x14ac:dyDescent="0.2">
      <c r="A43" s="1527"/>
      <c r="B43" s="862" t="s">
        <v>103</v>
      </c>
      <c r="C43" s="747"/>
      <c r="D43" s="747"/>
      <c r="E43" s="747"/>
      <c r="F43" s="854"/>
      <c r="G43" s="24"/>
    </row>
    <row r="44" spans="1:7" x14ac:dyDescent="0.2">
      <c r="A44" s="1527"/>
      <c r="B44" s="862" t="s">
        <v>92</v>
      </c>
      <c r="C44" s="747"/>
      <c r="D44" s="747"/>
      <c r="E44" s="747"/>
      <c r="F44" s="854"/>
      <c r="G44" s="24"/>
    </row>
    <row r="45" spans="1:7" x14ac:dyDescent="0.2">
      <c r="A45" s="1527"/>
      <c r="B45" s="862" t="s">
        <v>93</v>
      </c>
      <c r="C45" s="741"/>
      <c r="D45" s="741"/>
      <c r="E45" s="741"/>
      <c r="F45" s="854"/>
      <c r="G45" s="24"/>
    </row>
    <row r="46" spans="1:7" x14ac:dyDescent="0.2">
      <c r="A46" s="1527"/>
      <c r="B46" s="862" t="s">
        <v>94</v>
      </c>
      <c r="C46" s="741"/>
      <c r="D46" s="741"/>
      <c r="E46" s="741"/>
      <c r="F46" s="854"/>
      <c r="G46" s="24"/>
    </row>
    <row r="47" spans="1:7" ht="13.5" thickBot="1" x14ac:dyDescent="0.25">
      <c r="A47" s="1527"/>
      <c r="B47" s="863" t="s">
        <v>104</v>
      </c>
      <c r="C47" s="743">
        <v>11049981</v>
      </c>
      <c r="D47" s="743">
        <v>19607382</v>
      </c>
      <c r="E47" s="743">
        <v>19607292</v>
      </c>
      <c r="F47" s="867">
        <v>100</v>
      </c>
      <c r="G47" s="24"/>
    </row>
    <row r="48" spans="1:7" ht="13.5" thickBot="1" x14ac:dyDescent="0.25">
      <c r="A48" s="1527"/>
      <c r="B48" s="858" t="s">
        <v>14</v>
      </c>
      <c r="C48" s="749">
        <f>SUM(C38:C47)</f>
        <v>11134341</v>
      </c>
      <c r="D48" s="749">
        <f>SUM(D38:D47)</f>
        <v>19691742</v>
      </c>
      <c r="E48" s="749">
        <f>SUM(E38:E47)</f>
        <v>19691652</v>
      </c>
      <c r="F48" s="859">
        <f>E48/D48*100</f>
        <v>99.999542955620697</v>
      </c>
      <c r="G48" s="24"/>
    </row>
    <row r="49" spans="1:7" ht="17.25" customHeight="1" x14ac:dyDescent="0.2">
      <c r="A49" s="1526" t="s">
        <v>311</v>
      </c>
      <c r="B49" s="860" t="s">
        <v>88</v>
      </c>
      <c r="C49" s="853"/>
      <c r="D49" s="853"/>
      <c r="E49" s="853"/>
      <c r="F49" s="866"/>
      <c r="G49" s="24"/>
    </row>
    <row r="50" spans="1:7" ht="25.5" x14ac:dyDescent="0.2">
      <c r="A50" s="1527"/>
      <c r="B50" s="862" t="s">
        <v>101</v>
      </c>
      <c r="C50" s="727"/>
      <c r="D50" s="727"/>
      <c r="E50" s="727"/>
      <c r="F50" s="867"/>
      <c r="G50" s="24"/>
    </row>
    <row r="51" spans="1:7" ht="17.25" customHeight="1" x14ac:dyDescent="0.2">
      <c r="A51" s="1527"/>
      <c r="B51" s="862" t="s">
        <v>90</v>
      </c>
      <c r="C51" s="727"/>
      <c r="D51" s="727"/>
      <c r="E51" s="727"/>
      <c r="F51" s="867"/>
      <c r="G51" s="24"/>
    </row>
    <row r="52" spans="1:7" ht="17.25" customHeight="1" x14ac:dyDescent="0.2">
      <c r="A52" s="1527"/>
      <c r="B52" s="862" t="s">
        <v>102</v>
      </c>
      <c r="C52" s="727"/>
      <c r="D52" s="727"/>
      <c r="E52" s="727"/>
      <c r="F52" s="867"/>
      <c r="G52" s="24"/>
    </row>
    <row r="53" spans="1:7" ht="28.5" customHeight="1" x14ac:dyDescent="0.2">
      <c r="A53" s="1527"/>
      <c r="B53" s="862" t="s">
        <v>97</v>
      </c>
      <c r="C53" s="727">
        <v>12557000</v>
      </c>
      <c r="D53" s="727">
        <v>6148445</v>
      </c>
      <c r="E53" s="727">
        <v>6148445</v>
      </c>
      <c r="F53" s="867">
        <f>E53/D53*100</f>
        <v>100</v>
      </c>
      <c r="G53" s="24"/>
    </row>
    <row r="54" spans="1:7" ht="17.25" customHeight="1" x14ac:dyDescent="0.2">
      <c r="A54" s="1527"/>
      <c r="B54" s="862" t="s">
        <v>103</v>
      </c>
      <c r="C54" s="727"/>
      <c r="D54" s="727"/>
      <c r="E54" s="727"/>
      <c r="F54" s="867"/>
      <c r="G54" s="24"/>
    </row>
    <row r="55" spans="1:7" x14ac:dyDescent="0.2">
      <c r="A55" s="1527"/>
      <c r="B55" s="862" t="s">
        <v>92</v>
      </c>
      <c r="C55" s="727"/>
      <c r="D55" s="727"/>
      <c r="E55" s="727"/>
      <c r="F55" s="867"/>
      <c r="G55" s="24"/>
    </row>
    <row r="56" spans="1:7" x14ac:dyDescent="0.2">
      <c r="A56" s="1527"/>
      <c r="B56" s="862" t="s">
        <v>93</v>
      </c>
      <c r="C56" s="741"/>
      <c r="D56" s="741"/>
      <c r="E56" s="741"/>
      <c r="F56" s="867"/>
      <c r="G56" s="24"/>
    </row>
    <row r="57" spans="1:7" x14ac:dyDescent="0.2">
      <c r="A57" s="1527"/>
      <c r="B57" s="862" t="s">
        <v>94</v>
      </c>
      <c r="C57" s="741"/>
      <c r="D57" s="741"/>
      <c r="E57" s="741"/>
      <c r="F57" s="867"/>
      <c r="G57" s="24"/>
    </row>
    <row r="58" spans="1:7" ht="13.5" thickBot="1" x14ac:dyDescent="0.25">
      <c r="A58" s="1527"/>
      <c r="B58" s="863" t="s">
        <v>104</v>
      </c>
      <c r="C58" s="743">
        <v>132912153</v>
      </c>
      <c r="D58" s="743">
        <v>136536843</v>
      </c>
      <c r="E58" s="743">
        <v>127912569</v>
      </c>
      <c r="F58" s="867">
        <f>E58/D58*100</f>
        <v>93.68355543419149</v>
      </c>
      <c r="G58" s="24"/>
    </row>
    <row r="59" spans="1:7" ht="13.5" thickBot="1" x14ac:dyDescent="0.25">
      <c r="A59" s="1527"/>
      <c r="B59" s="858" t="s">
        <v>14</v>
      </c>
      <c r="C59" s="749">
        <f>SUM(C49:C58)</f>
        <v>145469153</v>
      </c>
      <c r="D59" s="749">
        <f>SUM(D49:D58)</f>
        <v>142685288</v>
      </c>
      <c r="E59" s="749">
        <f>SUM(E49:E58)</f>
        <v>134061014</v>
      </c>
      <c r="F59" s="859">
        <f>E59/D59*100</f>
        <v>93.955737048377415</v>
      </c>
      <c r="G59" s="24"/>
    </row>
    <row r="60" spans="1:7" ht="17.25" customHeight="1" x14ac:dyDescent="0.2">
      <c r="A60" s="1526" t="s">
        <v>106</v>
      </c>
      <c r="B60" s="860" t="s">
        <v>88</v>
      </c>
      <c r="C60" s="853"/>
      <c r="D60" s="853"/>
      <c r="E60" s="853"/>
      <c r="F60" s="866"/>
      <c r="G60" s="24"/>
    </row>
    <row r="61" spans="1:7" ht="25.5" x14ac:dyDescent="0.2">
      <c r="A61" s="1527"/>
      <c r="B61" s="862" t="s">
        <v>101</v>
      </c>
      <c r="C61" s="727"/>
      <c r="D61" s="727"/>
      <c r="E61" s="727"/>
      <c r="F61" s="867"/>
      <c r="G61" s="24"/>
    </row>
    <row r="62" spans="1:7" ht="17.25" customHeight="1" x14ac:dyDescent="0.2">
      <c r="A62" s="1527"/>
      <c r="B62" s="862" t="s">
        <v>90</v>
      </c>
      <c r="C62" s="727"/>
      <c r="D62" s="727"/>
      <c r="E62" s="727"/>
      <c r="F62" s="867"/>
      <c r="G62" s="24"/>
    </row>
    <row r="63" spans="1:7" ht="17.25" customHeight="1" x14ac:dyDescent="0.2">
      <c r="A63" s="1527"/>
      <c r="B63" s="862" t="s">
        <v>102</v>
      </c>
      <c r="C63" s="727"/>
      <c r="D63" s="727"/>
      <c r="E63" s="727"/>
      <c r="F63" s="867"/>
      <c r="G63" s="24"/>
    </row>
    <row r="64" spans="1:7" ht="29.25" customHeight="1" x14ac:dyDescent="0.2">
      <c r="A64" s="1527"/>
      <c r="B64" s="862" t="s">
        <v>97</v>
      </c>
      <c r="C64" s="727">
        <v>10515654</v>
      </c>
      <c r="D64" s="727">
        <v>10515654</v>
      </c>
      <c r="E64" s="727">
        <v>10515654</v>
      </c>
      <c r="F64" s="867">
        <f>E64/D64*100</f>
        <v>100</v>
      </c>
      <c r="G64" s="24"/>
    </row>
    <row r="65" spans="1:7" ht="17.25" customHeight="1" x14ac:dyDescent="0.2">
      <c r="A65" s="1527"/>
      <c r="B65" s="862" t="s">
        <v>103</v>
      </c>
      <c r="C65" s="727"/>
      <c r="D65" s="727"/>
      <c r="E65" s="727"/>
      <c r="F65" s="867"/>
      <c r="G65" s="24"/>
    </row>
    <row r="66" spans="1:7" x14ac:dyDescent="0.2">
      <c r="A66" s="1527"/>
      <c r="B66" s="862" t="s">
        <v>92</v>
      </c>
      <c r="C66" s="727"/>
      <c r="D66" s="727"/>
      <c r="E66" s="727"/>
      <c r="F66" s="867"/>
      <c r="G66" s="24"/>
    </row>
    <row r="67" spans="1:7" x14ac:dyDescent="0.2">
      <c r="A67" s="1527"/>
      <c r="B67" s="862" t="s">
        <v>93</v>
      </c>
      <c r="C67" s="741"/>
      <c r="D67" s="741"/>
      <c r="E67" s="741"/>
      <c r="F67" s="867"/>
      <c r="G67" s="24"/>
    </row>
    <row r="68" spans="1:7" x14ac:dyDescent="0.2">
      <c r="A68" s="1527"/>
      <c r="B68" s="862" t="s">
        <v>94</v>
      </c>
      <c r="C68" s="741"/>
      <c r="D68" s="741"/>
      <c r="E68" s="741"/>
      <c r="F68" s="867"/>
      <c r="G68" s="24"/>
    </row>
    <row r="69" spans="1:7" ht="13.5" thickBot="1" x14ac:dyDescent="0.25">
      <c r="A69" s="1527"/>
      <c r="B69" s="863" t="s">
        <v>104</v>
      </c>
      <c r="C69" s="743"/>
      <c r="D69" s="743"/>
      <c r="E69" s="743"/>
      <c r="F69" s="868"/>
      <c r="G69" s="24"/>
    </row>
    <row r="70" spans="1:7" ht="13.5" thickBot="1" x14ac:dyDescent="0.25">
      <c r="A70" s="1527"/>
      <c r="B70" s="858" t="s">
        <v>14</v>
      </c>
      <c r="C70" s="749">
        <f>SUM(C60:C69)</f>
        <v>10515654</v>
      </c>
      <c r="D70" s="1139">
        <f>SUM(D60:D69)</f>
        <v>10515654</v>
      </c>
      <c r="E70" s="749">
        <f>SUM(E60:E69)</f>
        <v>10515654</v>
      </c>
      <c r="F70" s="859">
        <f>E70/D70*100</f>
        <v>100</v>
      </c>
      <c r="G70" s="24"/>
    </row>
    <row r="71" spans="1:7" ht="17.25" customHeight="1" x14ac:dyDescent="0.2">
      <c r="A71" s="1526" t="s">
        <v>77</v>
      </c>
      <c r="B71" s="860" t="s">
        <v>88</v>
      </c>
      <c r="C71" s="853">
        <v>1366743</v>
      </c>
      <c r="D71" s="853">
        <v>65624971</v>
      </c>
      <c r="E71" s="853">
        <v>65624971</v>
      </c>
      <c r="F71" s="867">
        <f t="shared" ref="F71:F73" si="1">E71/D71*100</f>
        <v>100</v>
      </c>
      <c r="G71" s="24"/>
    </row>
    <row r="72" spans="1:7" ht="25.5" x14ac:dyDescent="0.2">
      <c r="A72" s="1527"/>
      <c r="B72" s="862" t="s">
        <v>101</v>
      </c>
      <c r="C72" s="727">
        <v>133257</v>
      </c>
      <c r="D72" s="727">
        <v>9153483</v>
      </c>
      <c r="E72" s="727">
        <v>9153483</v>
      </c>
      <c r="F72" s="867">
        <f t="shared" si="1"/>
        <v>100</v>
      </c>
      <c r="G72" s="24"/>
    </row>
    <row r="73" spans="1:7" ht="17.25" customHeight="1" x14ac:dyDescent="0.2">
      <c r="A73" s="1527"/>
      <c r="B73" s="862" t="s">
        <v>90</v>
      </c>
      <c r="C73" s="727"/>
      <c r="D73" s="727">
        <v>26600</v>
      </c>
      <c r="E73" s="727">
        <v>26600</v>
      </c>
      <c r="F73" s="867">
        <f t="shared" si="1"/>
        <v>100</v>
      </c>
      <c r="G73" s="24"/>
    </row>
    <row r="74" spans="1:7" ht="17.25" customHeight="1" x14ac:dyDescent="0.2">
      <c r="A74" s="1527"/>
      <c r="B74" s="862" t="s">
        <v>102</v>
      </c>
      <c r="C74" s="727"/>
      <c r="D74" s="727"/>
      <c r="E74" s="727"/>
      <c r="F74" s="867"/>
      <c r="G74" s="24"/>
    </row>
    <row r="75" spans="1:7" ht="33.75" customHeight="1" x14ac:dyDescent="0.2">
      <c r="A75" s="1527"/>
      <c r="B75" s="862" t="s">
        <v>97</v>
      </c>
      <c r="C75" s="727"/>
      <c r="D75" s="727"/>
      <c r="E75" s="727"/>
      <c r="F75" s="867"/>
      <c r="G75" s="24"/>
    </row>
    <row r="76" spans="1:7" ht="17.25" customHeight="1" x14ac:dyDescent="0.2">
      <c r="A76" s="1527"/>
      <c r="B76" s="862" t="s">
        <v>103</v>
      </c>
      <c r="C76" s="727"/>
      <c r="D76" s="727"/>
      <c r="E76" s="727"/>
      <c r="F76" s="867"/>
      <c r="G76" s="24"/>
    </row>
    <row r="77" spans="1:7" x14ac:dyDescent="0.2">
      <c r="A77" s="1527"/>
      <c r="B77" s="862" t="s">
        <v>92</v>
      </c>
      <c r="C77" s="727"/>
      <c r="D77" s="727"/>
      <c r="E77" s="727"/>
      <c r="F77" s="867"/>
      <c r="G77" s="24"/>
    </row>
    <row r="78" spans="1:7" x14ac:dyDescent="0.2">
      <c r="A78" s="1527"/>
      <c r="B78" s="862" t="s">
        <v>93</v>
      </c>
      <c r="C78" s="741"/>
      <c r="D78" s="744"/>
      <c r="E78" s="744"/>
      <c r="F78" s="867"/>
      <c r="G78" s="24"/>
    </row>
    <row r="79" spans="1:7" x14ac:dyDescent="0.2">
      <c r="A79" s="1527"/>
      <c r="B79" s="862" t="s">
        <v>94</v>
      </c>
      <c r="C79" s="741"/>
      <c r="D79" s="747"/>
      <c r="E79" s="741"/>
      <c r="F79" s="867"/>
      <c r="G79" s="24"/>
    </row>
    <row r="80" spans="1:7" ht="13.5" thickBot="1" x14ac:dyDescent="0.25">
      <c r="A80" s="1527"/>
      <c r="B80" s="863" t="s">
        <v>104</v>
      </c>
      <c r="C80" s="743"/>
      <c r="D80" s="748"/>
      <c r="E80" s="743"/>
      <c r="F80" s="867"/>
      <c r="G80" s="24"/>
    </row>
    <row r="81" spans="1:11" ht="13.5" thickBot="1" x14ac:dyDescent="0.25">
      <c r="A81" s="1527"/>
      <c r="B81" s="858" t="s">
        <v>14</v>
      </c>
      <c r="C81" s="749">
        <f>SUM(C71:C80)</f>
        <v>1500000</v>
      </c>
      <c r="D81" s="869">
        <f>SUM(D71:D80)</f>
        <v>74805054</v>
      </c>
      <c r="E81" s="749">
        <f>SUM(E71:E80)</f>
        <v>74805054</v>
      </c>
      <c r="F81" s="859">
        <f>E81/D81*100</f>
        <v>100</v>
      </c>
      <c r="G81" s="24"/>
    </row>
    <row r="82" spans="1:11" ht="13.5" thickBot="1" x14ac:dyDescent="0.25">
      <c r="A82" s="870" t="s">
        <v>72</v>
      </c>
      <c r="B82" s="871" t="s">
        <v>24</v>
      </c>
      <c r="C82" s="872" t="s">
        <v>156</v>
      </c>
      <c r="D82" s="872" t="s">
        <v>148</v>
      </c>
      <c r="E82" s="872" t="s">
        <v>149</v>
      </c>
      <c r="F82" s="873" t="s">
        <v>150</v>
      </c>
      <c r="G82" s="24"/>
    </row>
    <row r="83" spans="1:11" ht="12.75" customHeight="1" x14ac:dyDescent="0.2">
      <c r="A83" s="1529" t="s">
        <v>78</v>
      </c>
      <c r="B83" s="860" t="s">
        <v>88</v>
      </c>
      <c r="C83" s="853">
        <v>78015228</v>
      </c>
      <c r="D83" s="1145">
        <v>369315391</v>
      </c>
      <c r="E83" s="874">
        <v>307878853</v>
      </c>
      <c r="F83" s="867">
        <f>E83/D83*100</f>
        <v>83.364750157406789</v>
      </c>
      <c r="G83" s="24"/>
    </row>
    <row r="84" spans="1:11" ht="25.5" x14ac:dyDescent="0.2">
      <c r="A84" s="1530"/>
      <c r="B84" s="862" t="s">
        <v>101</v>
      </c>
      <c r="C84" s="727">
        <v>7967000</v>
      </c>
      <c r="D84" s="747">
        <v>43302933</v>
      </c>
      <c r="E84" s="745">
        <v>34966402</v>
      </c>
      <c r="F84" s="867">
        <f>E84/D84*100</f>
        <v>80.748345614372127</v>
      </c>
      <c r="G84" s="24"/>
    </row>
    <row r="85" spans="1:11" x14ac:dyDescent="0.2">
      <c r="A85" s="1530"/>
      <c r="B85" s="862" t="s">
        <v>90</v>
      </c>
      <c r="C85" s="727">
        <v>32629277</v>
      </c>
      <c r="D85" s="747">
        <v>59849496</v>
      </c>
      <c r="E85" s="745">
        <v>59137504</v>
      </c>
      <c r="F85" s="867">
        <f>E85/D85*100</f>
        <v>98.810362580162746</v>
      </c>
      <c r="G85" s="24"/>
    </row>
    <row r="86" spans="1:11" x14ac:dyDescent="0.2">
      <c r="A86" s="1530"/>
      <c r="B86" s="862" t="s">
        <v>102</v>
      </c>
      <c r="C86" s="727"/>
      <c r="D86" s="747"/>
      <c r="E86" s="745"/>
      <c r="F86" s="867"/>
      <c r="G86" s="24"/>
    </row>
    <row r="87" spans="1:11" ht="25.5" x14ac:dyDescent="0.2">
      <c r="A87" s="1530"/>
      <c r="B87" s="862" t="s">
        <v>97</v>
      </c>
      <c r="C87" s="727">
        <v>11522448</v>
      </c>
      <c r="D87" s="747">
        <v>11410751</v>
      </c>
      <c r="E87" s="745">
        <v>11410751</v>
      </c>
      <c r="F87" s="867">
        <f t="shared" ref="F87" si="2">E87/D87*100</f>
        <v>100</v>
      </c>
      <c r="G87" s="24"/>
    </row>
    <row r="88" spans="1:11" x14ac:dyDescent="0.2">
      <c r="A88" s="1530"/>
      <c r="B88" s="862" t="s">
        <v>103</v>
      </c>
      <c r="C88" s="727"/>
      <c r="D88" s="747"/>
      <c r="E88" s="745"/>
      <c r="F88" s="867"/>
      <c r="G88" s="24"/>
    </row>
    <row r="89" spans="1:11" x14ac:dyDescent="0.2">
      <c r="A89" s="1530"/>
      <c r="B89" s="862" t="s">
        <v>92</v>
      </c>
      <c r="C89" s="727">
        <v>15594493</v>
      </c>
      <c r="D89" s="747">
        <v>21305502</v>
      </c>
      <c r="E89" s="745">
        <v>22273567</v>
      </c>
      <c r="F89" s="867">
        <f>E89/D89*100</f>
        <v>104.54373241240691</v>
      </c>
      <c r="G89" s="24"/>
    </row>
    <row r="90" spans="1:11" x14ac:dyDescent="0.2">
      <c r="A90" s="1530"/>
      <c r="B90" s="862" t="s">
        <v>93</v>
      </c>
      <c r="C90" s="741">
        <v>9809459</v>
      </c>
      <c r="D90" s="747">
        <v>9809459</v>
      </c>
      <c r="E90" s="745"/>
      <c r="F90" s="867"/>
      <c r="G90" s="24"/>
    </row>
    <row r="91" spans="1:11" x14ac:dyDescent="0.2">
      <c r="A91" s="1530"/>
      <c r="B91" s="862" t="s">
        <v>94</v>
      </c>
      <c r="C91" s="741"/>
      <c r="D91" s="747"/>
      <c r="E91" s="745"/>
      <c r="F91" s="867"/>
      <c r="G91" s="24"/>
    </row>
    <row r="92" spans="1:11" ht="13.5" thickBot="1" x14ac:dyDescent="0.25">
      <c r="A92" s="1530"/>
      <c r="B92" s="863" t="s">
        <v>104</v>
      </c>
      <c r="C92" s="743"/>
      <c r="D92" s="748"/>
      <c r="E92" s="746"/>
      <c r="F92" s="868"/>
      <c r="G92" s="24"/>
    </row>
    <row r="93" spans="1:11" ht="13.5" thickBot="1" x14ac:dyDescent="0.25">
      <c r="A93" s="1530"/>
      <c r="B93" s="858" t="s">
        <v>14</v>
      </c>
      <c r="C93" s="749">
        <f>SUM(C83:C92)</f>
        <v>155537905</v>
      </c>
      <c r="D93" s="869">
        <f>SUM(D83:D92)</f>
        <v>514993532</v>
      </c>
      <c r="E93" s="875">
        <f>SUM(E83:E92)</f>
        <v>435667077</v>
      </c>
      <c r="F93" s="859">
        <f>E93/D93*100</f>
        <v>84.596611399771916</v>
      </c>
      <c r="G93" s="24"/>
      <c r="I93" s="31"/>
      <c r="K93" s="2"/>
    </row>
    <row r="94" spans="1:11" x14ac:dyDescent="0.2">
      <c r="A94" s="1529" t="s">
        <v>468</v>
      </c>
      <c r="B94" s="860" t="s">
        <v>88</v>
      </c>
      <c r="C94" s="853">
        <v>1172500</v>
      </c>
      <c r="D94" s="1145">
        <v>98960</v>
      </c>
      <c r="E94" s="874">
        <v>98960</v>
      </c>
      <c r="F94" s="867">
        <f>E94/D94*100</f>
        <v>100</v>
      </c>
      <c r="G94" s="24"/>
      <c r="I94" s="31"/>
      <c r="K94" s="2"/>
    </row>
    <row r="95" spans="1:11" ht="25.5" x14ac:dyDescent="0.2">
      <c r="A95" s="1530"/>
      <c r="B95" s="862" t="s">
        <v>101</v>
      </c>
      <c r="C95" s="727">
        <v>231000</v>
      </c>
      <c r="D95" s="747">
        <v>21310</v>
      </c>
      <c r="E95" s="745">
        <v>21310</v>
      </c>
      <c r="F95" s="867">
        <f>E95/D95*100</f>
        <v>100</v>
      </c>
      <c r="G95" s="24"/>
      <c r="I95" s="31"/>
      <c r="K95" s="2"/>
    </row>
    <row r="96" spans="1:11" x14ac:dyDescent="0.2">
      <c r="A96" s="1530"/>
      <c r="B96" s="862" t="s">
        <v>90</v>
      </c>
      <c r="C96" s="727">
        <v>3788900</v>
      </c>
      <c r="D96" s="747">
        <v>4764805</v>
      </c>
      <c r="E96" s="745">
        <v>4574638</v>
      </c>
      <c r="F96" s="867">
        <f>E96/D96*100</f>
        <v>96.008923764980935</v>
      </c>
      <c r="G96" s="24"/>
      <c r="I96" s="31"/>
      <c r="K96" s="2"/>
    </row>
    <row r="97" spans="1:11" x14ac:dyDescent="0.2">
      <c r="A97" s="1530"/>
      <c r="B97" s="862" t="s">
        <v>102</v>
      </c>
      <c r="C97" s="727"/>
      <c r="D97" s="747"/>
      <c r="E97" s="745"/>
      <c r="F97" s="867"/>
      <c r="G97" s="24"/>
      <c r="I97" s="31"/>
      <c r="K97" s="2"/>
    </row>
    <row r="98" spans="1:11" ht="25.5" x14ac:dyDescent="0.2">
      <c r="A98" s="1530"/>
      <c r="B98" s="862" t="s">
        <v>97</v>
      </c>
      <c r="C98" s="727"/>
      <c r="D98" s="747"/>
      <c r="E98" s="745"/>
      <c r="F98" s="867"/>
      <c r="G98" s="24"/>
      <c r="I98" s="31"/>
      <c r="K98" s="2"/>
    </row>
    <row r="99" spans="1:11" x14ac:dyDescent="0.2">
      <c r="A99" s="1530"/>
      <c r="B99" s="862" t="s">
        <v>103</v>
      </c>
      <c r="C99" s="727"/>
      <c r="D99" s="747"/>
      <c r="E99" s="745"/>
      <c r="F99" s="867"/>
      <c r="G99" s="24"/>
      <c r="I99" s="31"/>
      <c r="K99" s="2"/>
    </row>
    <row r="100" spans="1:11" x14ac:dyDescent="0.2">
      <c r="A100" s="1530"/>
      <c r="B100" s="862" t="s">
        <v>92</v>
      </c>
      <c r="C100" s="727">
        <v>100000</v>
      </c>
      <c r="D100" s="747">
        <v>623706</v>
      </c>
      <c r="E100" s="745">
        <v>814597</v>
      </c>
      <c r="F100" s="867">
        <f>E100/D100*100</f>
        <v>130.6059265102468</v>
      </c>
      <c r="G100" s="24"/>
      <c r="I100" s="31"/>
      <c r="K100" s="2"/>
    </row>
    <row r="101" spans="1:11" x14ac:dyDescent="0.2">
      <c r="A101" s="1530"/>
      <c r="B101" s="862" t="s">
        <v>93</v>
      </c>
      <c r="C101" s="741"/>
      <c r="D101" s="747"/>
      <c r="E101" s="745"/>
      <c r="F101" s="867"/>
      <c r="G101" s="24"/>
      <c r="I101" s="31"/>
      <c r="K101" s="2"/>
    </row>
    <row r="102" spans="1:11" x14ac:dyDescent="0.2">
      <c r="A102" s="1530"/>
      <c r="B102" s="862" t="s">
        <v>94</v>
      </c>
      <c r="C102" s="741"/>
      <c r="D102" s="747"/>
      <c r="E102" s="745"/>
      <c r="F102" s="867"/>
      <c r="G102" s="24"/>
      <c r="I102" s="31"/>
      <c r="K102" s="2"/>
    </row>
    <row r="103" spans="1:11" ht="13.5" thickBot="1" x14ac:dyDescent="0.25">
      <c r="A103" s="1530"/>
      <c r="B103" s="863" t="s">
        <v>104</v>
      </c>
      <c r="C103" s="743"/>
      <c r="D103" s="748"/>
      <c r="E103" s="746"/>
      <c r="F103" s="868"/>
      <c r="G103" s="24"/>
      <c r="I103" s="31"/>
      <c r="K103" s="2"/>
    </row>
    <row r="104" spans="1:11" ht="13.5" thickBot="1" x14ac:dyDescent="0.25">
      <c r="A104" s="1530"/>
      <c r="B104" s="858" t="s">
        <v>14</v>
      </c>
      <c r="C104" s="749">
        <f>SUM(C94:C103)</f>
        <v>5292400</v>
      </c>
      <c r="D104" s="869">
        <f>SUM(D94:D103)</f>
        <v>5508781</v>
      </c>
      <c r="E104" s="875">
        <f>SUM(E94:E103)</f>
        <v>5509505</v>
      </c>
      <c r="F104" s="859">
        <f>E104/D104*100</f>
        <v>100.01314265351991</v>
      </c>
      <c r="G104" s="24"/>
      <c r="I104" s="31"/>
      <c r="K104" s="2"/>
    </row>
    <row r="105" spans="1:11" x14ac:dyDescent="0.2">
      <c r="A105" s="1526" t="s">
        <v>424</v>
      </c>
      <c r="B105" s="860" t="s">
        <v>88</v>
      </c>
      <c r="C105" s="853"/>
      <c r="D105" s="853"/>
      <c r="E105" s="853"/>
      <c r="F105" s="866"/>
      <c r="G105" s="876"/>
    </row>
    <row r="106" spans="1:11" ht="25.5" x14ac:dyDescent="0.2">
      <c r="A106" s="1527"/>
      <c r="B106" s="862" t="s">
        <v>101</v>
      </c>
      <c r="C106" s="727"/>
      <c r="D106" s="727"/>
      <c r="E106" s="727"/>
      <c r="F106" s="867"/>
      <c r="G106" s="877"/>
    </row>
    <row r="107" spans="1:11" x14ac:dyDescent="0.2">
      <c r="A107" s="1527"/>
      <c r="B107" s="862" t="s">
        <v>90</v>
      </c>
      <c r="C107" s="727"/>
      <c r="D107" s="727">
        <v>6533382</v>
      </c>
      <c r="E107" s="727">
        <v>6845088</v>
      </c>
      <c r="F107" s="867">
        <f t="shared" ref="F107" si="3">E107/D107*100</f>
        <v>104.77097466518872</v>
      </c>
      <c r="G107" s="878"/>
    </row>
    <row r="108" spans="1:11" x14ac:dyDescent="0.2">
      <c r="A108" s="1527"/>
      <c r="B108" s="862" t="s">
        <v>102</v>
      </c>
      <c r="C108" s="727"/>
      <c r="D108" s="727"/>
      <c r="E108" s="727"/>
      <c r="F108" s="867"/>
      <c r="G108" s="878"/>
    </row>
    <row r="109" spans="1:11" ht="25.5" x14ac:dyDescent="0.2">
      <c r="A109" s="1527"/>
      <c r="B109" s="862" t="s">
        <v>97</v>
      </c>
      <c r="C109" s="727"/>
      <c r="D109" s="727"/>
      <c r="E109" s="727"/>
      <c r="F109" s="867"/>
      <c r="G109" s="878"/>
    </row>
    <row r="110" spans="1:11" x14ac:dyDescent="0.2">
      <c r="A110" s="1527"/>
      <c r="B110" s="862" t="s">
        <v>103</v>
      </c>
      <c r="C110" s="727">
        <v>7666667</v>
      </c>
      <c r="D110" s="727">
        <v>2762116</v>
      </c>
      <c r="E110" s="727"/>
      <c r="F110" s="867"/>
      <c r="G110" s="878"/>
    </row>
    <row r="111" spans="1:11" x14ac:dyDescent="0.2">
      <c r="A111" s="1527"/>
      <c r="B111" s="862" t="s">
        <v>92</v>
      </c>
      <c r="C111" s="727">
        <v>879362403</v>
      </c>
      <c r="D111" s="727">
        <v>870596842</v>
      </c>
      <c r="E111" s="727">
        <v>23399091</v>
      </c>
      <c r="F111" s="867">
        <f>E111/D111*100</f>
        <v>2.6877068547877871</v>
      </c>
      <c r="G111" s="878"/>
    </row>
    <row r="112" spans="1:11" x14ac:dyDescent="0.2">
      <c r="A112" s="1527"/>
      <c r="B112" s="862" t="s">
        <v>93</v>
      </c>
      <c r="C112" s="741">
        <v>24620412</v>
      </c>
      <c r="D112" s="741">
        <v>53216855</v>
      </c>
      <c r="E112" s="741">
        <v>55795129</v>
      </c>
      <c r="F112" s="867">
        <f>E112/D112*100</f>
        <v>104.8448447395097</v>
      </c>
      <c r="G112" s="878"/>
    </row>
    <row r="113" spans="1:7" x14ac:dyDescent="0.2">
      <c r="A113" s="1527"/>
      <c r="B113" s="862" t="s">
        <v>94</v>
      </c>
      <c r="C113" s="741"/>
      <c r="D113" s="741"/>
      <c r="E113" s="741"/>
      <c r="F113" s="867"/>
      <c r="G113" s="878"/>
    </row>
    <row r="114" spans="1:7" ht="13.5" thickBot="1" x14ac:dyDescent="0.25">
      <c r="A114" s="1527"/>
      <c r="B114" s="863" t="s">
        <v>104</v>
      </c>
      <c r="C114" s="743"/>
      <c r="D114" s="743"/>
      <c r="E114" s="743"/>
      <c r="F114" s="868"/>
      <c r="G114" s="878"/>
    </row>
    <row r="115" spans="1:7" ht="13.5" thickBot="1" x14ac:dyDescent="0.25">
      <c r="A115" s="1527"/>
      <c r="B115" s="1007" t="s">
        <v>14</v>
      </c>
      <c r="C115" s="1144">
        <f>SUM(C105:C114)</f>
        <v>911649482</v>
      </c>
      <c r="D115" s="749">
        <f>SUM(D105:D114)</f>
        <v>933109195</v>
      </c>
      <c r="E115" s="1344">
        <f>SUM(E105:E114)</f>
        <v>86039308</v>
      </c>
      <c r="F115" s="1343">
        <f>E115/D115*100</f>
        <v>9.2207116231450286</v>
      </c>
      <c r="G115" s="878"/>
    </row>
    <row r="116" spans="1:7" x14ac:dyDescent="0.2">
      <c r="A116" s="1526" t="s">
        <v>581</v>
      </c>
      <c r="B116" s="860" t="s">
        <v>88</v>
      </c>
      <c r="C116" s="853"/>
      <c r="D116" s="853"/>
      <c r="E116" s="853"/>
      <c r="F116" s="866"/>
      <c r="G116" s="878"/>
    </row>
    <row r="117" spans="1:7" ht="25.5" x14ac:dyDescent="0.2">
      <c r="A117" s="1527"/>
      <c r="B117" s="862" t="s">
        <v>101</v>
      </c>
      <c r="C117" s="727"/>
      <c r="D117" s="727"/>
      <c r="E117" s="727"/>
      <c r="F117" s="867"/>
      <c r="G117" s="878"/>
    </row>
    <row r="118" spans="1:7" x14ac:dyDescent="0.2">
      <c r="A118" s="1527"/>
      <c r="B118" s="862" t="s">
        <v>90</v>
      </c>
      <c r="C118" s="727"/>
      <c r="D118" s="727">
        <v>131265</v>
      </c>
      <c r="E118" s="727">
        <v>359500</v>
      </c>
      <c r="F118" s="867">
        <f>E118/D118*100</f>
        <v>273.87346208052412</v>
      </c>
      <c r="G118" s="878"/>
    </row>
    <row r="119" spans="1:7" x14ac:dyDescent="0.2">
      <c r="A119" s="1527"/>
      <c r="B119" s="862" t="s">
        <v>102</v>
      </c>
      <c r="C119" s="727"/>
      <c r="D119" s="727"/>
      <c r="E119" s="727"/>
      <c r="F119" s="867"/>
      <c r="G119" s="878"/>
    </row>
    <row r="120" spans="1:7" ht="25.5" x14ac:dyDescent="0.2">
      <c r="A120" s="1527"/>
      <c r="B120" s="862" t="s">
        <v>97</v>
      </c>
      <c r="C120" s="727"/>
      <c r="D120" s="727"/>
      <c r="E120" s="727"/>
      <c r="F120" s="867"/>
      <c r="G120" s="878"/>
    </row>
    <row r="121" spans="1:7" x14ac:dyDescent="0.2">
      <c r="A121" s="1527"/>
      <c r="B121" s="862" t="s">
        <v>103</v>
      </c>
      <c r="C121" s="727"/>
      <c r="D121" s="727"/>
      <c r="E121" s="727"/>
      <c r="F121" s="867"/>
      <c r="G121" s="878"/>
    </row>
    <row r="122" spans="1:7" x14ac:dyDescent="0.2">
      <c r="A122" s="1527"/>
      <c r="B122" s="862" t="s">
        <v>92</v>
      </c>
      <c r="C122" s="727"/>
      <c r="D122" s="727"/>
      <c r="E122" s="727"/>
      <c r="F122" s="867"/>
      <c r="G122" s="878"/>
    </row>
    <row r="123" spans="1:7" x14ac:dyDescent="0.2">
      <c r="A123" s="1527"/>
      <c r="B123" s="862" t="s">
        <v>93</v>
      </c>
      <c r="C123" s="741"/>
      <c r="D123" s="741"/>
      <c r="E123" s="741"/>
      <c r="F123" s="867"/>
      <c r="G123" s="878"/>
    </row>
    <row r="124" spans="1:7" x14ac:dyDescent="0.2">
      <c r="A124" s="1527"/>
      <c r="B124" s="862" t="s">
        <v>94</v>
      </c>
      <c r="C124" s="741"/>
      <c r="D124" s="741"/>
      <c r="E124" s="741"/>
      <c r="F124" s="867"/>
      <c r="G124" s="878"/>
    </row>
    <row r="125" spans="1:7" ht="13.5" thickBot="1" x14ac:dyDescent="0.25">
      <c r="A125" s="1527"/>
      <c r="B125" s="863" t="s">
        <v>104</v>
      </c>
      <c r="C125" s="743"/>
      <c r="D125" s="743"/>
      <c r="E125" s="743"/>
      <c r="F125" s="868"/>
      <c r="G125" s="878"/>
    </row>
    <row r="126" spans="1:7" ht="13.5" thickBot="1" x14ac:dyDescent="0.25">
      <c r="A126" s="1527"/>
      <c r="B126" s="1007" t="s">
        <v>14</v>
      </c>
      <c r="C126" s="1144">
        <f>SUM(C116:C125)</f>
        <v>0</v>
      </c>
      <c r="D126" s="749">
        <f>SUM(D116:D125)</f>
        <v>131265</v>
      </c>
      <c r="E126" s="1344">
        <f>SUM(E116:E125)</f>
        <v>359500</v>
      </c>
      <c r="F126" s="1358">
        <f>E126/D126*100</f>
        <v>273.87346208052412</v>
      </c>
      <c r="G126" s="878"/>
    </row>
    <row r="127" spans="1:7" s="25" customFormat="1" x14ac:dyDescent="0.2">
      <c r="A127" s="1526" t="s">
        <v>432</v>
      </c>
      <c r="B127" s="1148" t="s">
        <v>88</v>
      </c>
      <c r="C127" s="1141"/>
      <c r="D127" s="1141"/>
      <c r="E127" s="1141"/>
      <c r="F127" s="1142"/>
      <c r="G127" s="879"/>
    </row>
    <row r="128" spans="1:7" s="25" customFormat="1" ht="25.5" x14ac:dyDescent="0.2">
      <c r="A128" s="1527"/>
      <c r="B128" s="862" t="s">
        <v>101</v>
      </c>
      <c r="C128" s="727"/>
      <c r="D128" s="727"/>
      <c r="E128" s="727"/>
      <c r="F128" s="867"/>
      <c r="G128" s="879"/>
    </row>
    <row r="129" spans="1:7" s="25" customFormat="1" x14ac:dyDescent="0.2">
      <c r="A129" s="1527"/>
      <c r="B129" s="862" t="s">
        <v>90</v>
      </c>
      <c r="C129" s="727">
        <v>15206000</v>
      </c>
      <c r="D129" s="727">
        <v>3967716</v>
      </c>
      <c r="E129" s="727">
        <v>3805716</v>
      </c>
      <c r="F129" s="867">
        <f>E129/D129*100</f>
        <v>95.917046482157502</v>
      </c>
      <c r="G129" s="879"/>
    </row>
    <row r="130" spans="1:7" s="25" customFormat="1" x14ac:dyDescent="0.2">
      <c r="A130" s="1527"/>
      <c r="B130" s="862" t="s">
        <v>102</v>
      </c>
      <c r="C130" s="727"/>
      <c r="D130" s="727"/>
      <c r="E130" s="727"/>
      <c r="F130" s="867"/>
      <c r="G130" s="879"/>
    </row>
    <row r="131" spans="1:7" s="25" customFormat="1" ht="25.5" x14ac:dyDescent="0.2">
      <c r="A131" s="1527"/>
      <c r="B131" s="862" t="s">
        <v>97</v>
      </c>
      <c r="C131" s="727">
        <v>3736712</v>
      </c>
      <c r="D131" s="727">
        <v>4956639</v>
      </c>
      <c r="E131" s="727">
        <v>4863485</v>
      </c>
      <c r="F131" s="867">
        <f>E131/D131*100</f>
        <v>98.120621655117517</v>
      </c>
      <c r="G131" s="879"/>
    </row>
    <row r="132" spans="1:7" s="25" customFormat="1" x14ac:dyDescent="0.2">
      <c r="A132" s="1527"/>
      <c r="B132" s="862" t="s">
        <v>103</v>
      </c>
      <c r="C132" s="727"/>
      <c r="D132" s="727"/>
      <c r="E132" s="727"/>
      <c r="F132" s="867"/>
      <c r="G132" s="879"/>
    </row>
    <row r="133" spans="1:7" s="25" customFormat="1" x14ac:dyDescent="0.2">
      <c r="A133" s="1527"/>
      <c r="B133" s="862" t="s">
        <v>92</v>
      </c>
      <c r="C133" s="727"/>
      <c r="D133" s="727"/>
      <c r="E133" s="727"/>
      <c r="F133" s="867"/>
      <c r="G133" s="879"/>
    </row>
    <row r="134" spans="1:7" s="25" customFormat="1" x14ac:dyDescent="0.2">
      <c r="A134" s="1527"/>
      <c r="B134" s="862" t="s">
        <v>93</v>
      </c>
      <c r="C134" s="741"/>
      <c r="D134" s="741"/>
      <c r="E134" s="741"/>
      <c r="F134" s="867"/>
      <c r="G134" s="879"/>
    </row>
    <row r="135" spans="1:7" s="25" customFormat="1" x14ac:dyDescent="0.2">
      <c r="A135" s="1527"/>
      <c r="B135" s="862" t="s">
        <v>94</v>
      </c>
      <c r="C135" s="741"/>
      <c r="D135" s="741"/>
      <c r="E135" s="741"/>
      <c r="F135" s="867"/>
      <c r="G135" s="879"/>
    </row>
    <row r="136" spans="1:7" s="25" customFormat="1" ht="13.5" thickBot="1" x14ac:dyDescent="0.25">
      <c r="A136" s="1527"/>
      <c r="B136" s="863" t="s">
        <v>104</v>
      </c>
      <c r="C136" s="743"/>
      <c r="D136" s="743"/>
      <c r="E136" s="743"/>
      <c r="F136" s="868"/>
      <c r="G136" s="879"/>
    </row>
    <row r="137" spans="1:7" s="25" customFormat="1" ht="13.5" thickBot="1" x14ac:dyDescent="0.25">
      <c r="A137" s="1527"/>
      <c r="B137" s="858" t="s">
        <v>14</v>
      </c>
      <c r="C137" s="749">
        <f>SUM(C127:C136)</f>
        <v>18942712</v>
      </c>
      <c r="D137" s="749">
        <f>SUM(D127:D136)</f>
        <v>8924355</v>
      </c>
      <c r="E137" s="749">
        <f>SUM(E127:E136)</f>
        <v>8669201</v>
      </c>
      <c r="F137" s="859">
        <f>E137/D137*100</f>
        <v>97.140925030436378</v>
      </c>
      <c r="G137" s="879"/>
    </row>
    <row r="138" spans="1:7" x14ac:dyDescent="0.2">
      <c r="A138" s="1526" t="s">
        <v>433</v>
      </c>
      <c r="B138" s="860" t="s">
        <v>88</v>
      </c>
      <c r="C138" s="853"/>
      <c r="D138" s="853"/>
      <c r="E138" s="853"/>
      <c r="F138" s="866"/>
      <c r="G138" s="24"/>
    </row>
    <row r="139" spans="1:7" ht="25.5" x14ac:dyDescent="0.2">
      <c r="A139" s="1527"/>
      <c r="B139" s="862" t="s">
        <v>101</v>
      </c>
      <c r="C139" s="727"/>
      <c r="D139" s="727"/>
      <c r="E139" s="727"/>
      <c r="F139" s="867"/>
      <c r="G139" s="24"/>
    </row>
    <row r="140" spans="1:7" x14ac:dyDescent="0.2">
      <c r="A140" s="1527"/>
      <c r="B140" s="862" t="s">
        <v>90</v>
      </c>
      <c r="C140" s="727"/>
      <c r="D140" s="727"/>
      <c r="E140" s="727"/>
      <c r="F140" s="867"/>
      <c r="G140" s="24"/>
    </row>
    <row r="141" spans="1:7" x14ac:dyDescent="0.2">
      <c r="A141" s="1527"/>
      <c r="B141" s="862" t="s">
        <v>102</v>
      </c>
      <c r="C141" s="727"/>
      <c r="D141" s="727"/>
      <c r="E141" s="727"/>
      <c r="F141" s="867"/>
      <c r="G141" s="24"/>
    </row>
    <row r="142" spans="1:7" ht="25.5" x14ac:dyDescent="0.2">
      <c r="A142" s="1527"/>
      <c r="B142" s="862" t="s">
        <v>97</v>
      </c>
      <c r="C142" s="727">
        <v>1955913</v>
      </c>
      <c r="D142" s="727">
        <v>1669647</v>
      </c>
      <c r="E142" s="727">
        <v>1619934</v>
      </c>
      <c r="F142" s="867">
        <f t="shared" ref="F142" si="4">E142/D142%</f>
        <v>97.022544286307223</v>
      </c>
      <c r="G142" s="24"/>
    </row>
    <row r="143" spans="1:7" x14ac:dyDescent="0.2">
      <c r="A143" s="1527"/>
      <c r="B143" s="862" t="s">
        <v>103</v>
      </c>
      <c r="C143" s="727"/>
      <c r="D143" s="727"/>
      <c r="E143" s="727"/>
      <c r="F143" s="867"/>
      <c r="G143" s="24"/>
    </row>
    <row r="144" spans="1:7" x14ac:dyDescent="0.2">
      <c r="A144" s="1527"/>
      <c r="B144" s="862" t="s">
        <v>92</v>
      </c>
      <c r="C144" s="727"/>
      <c r="D144" s="727"/>
      <c r="E144" s="727"/>
      <c r="F144" s="867"/>
      <c r="G144" s="24"/>
    </row>
    <row r="145" spans="1:7" x14ac:dyDescent="0.2">
      <c r="A145" s="1527"/>
      <c r="B145" s="862" t="s">
        <v>93</v>
      </c>
      <c r="C145" s="741"/>
      <c r="D145" s="741"/>
      <c r="E145" s="741"/>
      <c r="F145" s="867"/>
      <c r="G145" s="24"/>
    </row>
    <row r="146" spans="1:7" x14ac:dyDescent="0.2">
      <c r="A146" s="1527"/>
      <c r="B146" s="862" t="s">
        <v>94</v>
      </c>
      <c r="C146" s="741"/>
      <c r="D146" s="741"/>
      <c r="E146" s="741"/>
      <c r="F146" s="867"/>
      <c r="G146" s="24"/>
    </row>
    <row r="147" spans="1:7" ht="13.5" thickBot="1" x14ac:dyDescent="0.25">
      <c r="A147" s="1527"/>
      <c r="B147" s="863" t="s">
        <v>104</v>
      </c>
      <c r="C147" s="743"/>
      <c r="D147" s="743"/>
      <c r="E147" s="743"/>
      <c r="F147" s="864"/>
      <c r="G147" s="24"/>
    </row>
    <row r="148" spans="1:7" s="25" customFormat="1" ht="13.5" thickBot="1" x14ac:dyDescent="0.25">
      <c r="A148" s="1527"/>
      <c r="B148" s="858" t="s">
        <v>14</v>
      </c>
      <c r="C148" s="749">
        <f>SUM(C138:C147)</f>
        <v>1955913</v>
      </c>
      <c r="D148" s="749">
        <f>SUM(D138:D147)</f>
        <v>1669647</v>
      </c>
      <c r="E148" s="749">
        <f>SUM(E138:E147)</f>
        <v>1619934</v>
      </c>
      <c r="F148" s="859">
        <f>E148/D148*100</f>
        <v>97.022544286307223</v>
      </c>
      <c r="G148" s="879"/>
    </row>
    <row r="149" spans="1:7" x14ac:dyDescent="0.2">
      <c r="A149" s="1526" t="s">
        <v>582</v>
      </c>
      <c r="B149" s="860" t="s">
        <v>88</v>
      </c>
      <c r="C149" s="853"/>
      <c r="D149" s="853"/>
      <c r="E149" s="853"/>
      <c r="F149" s="866"/>
      <c r="G149" s="24"/>
    </row>
    <row r="150" spans="1:7" ht="25.5" x14ac:dyDescent="0.2">
      <c r="A150" s="1527"/>
      <c r="B150" s="862" t="s">
        <v>101</v>
      </c>
      <c r="C150" s="727"/>
      <c r="D150" s="727"/>
      <c r="E150" s="727"/>
      <c r="F150" s="867"/>
      <c r="G150" s="24"/>
    </row>
    <row r="151" spans="1:7" x14ac:dyDescent="0.2">
      <c r="A151" s="1527"/>
      <c r="B151" s="862" t="s">
        <v>90</v>
      </c>
      <c r="C151" s="727"/>
      <c r="D151" s="727"/>
      <c r="E151" s="727"/>
      <c r="F151" s="867"/>
      <c r="G151" s="24"/>
    </row>
    <row r="152" spans="1:7" x14ac:dyDescent="0.2">
      <c r="A152" s="1527"/>
      <c r="B152" s="862" t="s">
        <v>102</v>
      </c>
      <c r="C152" s="727"/>
      <c r="D152" s="727"/>
      <c r="E152" s="727"/>
      <c r="F152" s="867"/>
      <c r="G152" s="24"/>
    </row>
    <row r="153" spans="1:7" ht="25.5" x14ac:dyDescent="0.2">
      <c r="A153" s="1527"/>
      <c r="B153" s="862" t="s">
        <v>97</v>
      </c>
      <c r="C153" s="727"/>
      <c r="D153" s="727">
        <v>40000</v>
      </c>
      <c r="E153" s="727">
        <v>39000</v>
      </c>
      <c r="F153" s="867">
        <f>E153/D153*100</f>
        <v>97.5</v>
      </c>
      <c r="G153" s="24"/>
    </row>
    <row r="154" spans="1:7" x14ac:dyDescent="0.2">
      <c r="A154" s="1527"/>
      <c r="B154" s="862" t="s">
        <v>103</v>
      </c>
      <c r="C154" s="727"/>
      <c r="D154" s="727"/>
      <c r="E154" s="727"/>
      <c r="F154" s="867"/>
      <c r="G154" s="24"/>
    </row>
    <row r="155" spans="1:7" x14ac:dyDescent="0.2">
      <c r="A155" s="1527"/>
      <c r="B155" s="862" t="s">
        <v>92</v>
      </c>
      <c r="C155" s="727">
        <v>1390854858</v>
      </c>
      <c r="D155" s="727">
        <v>1390854858</v>
      </c>
      <c r="E155" s="727"/>
      <c r="F155" s="867"/>
      <c r="G155" s="24"/>
    </row>
    <row r="156" spans="1:7" x14ac:dyDescent="0.2">
      <c r="A156" s="1527"/>
      <c r="B156" s="862" t="s">
        <v>93</v>
      </c>
      <c r="C156" s="741"/>
      <c r="D156" s="741"/>
      <c r="E156" s="741"/>
      <c r="F156" s="867"/>
      <c r="G156" s="24"/>
    </row>
    <row r="157" spans="1:7" x14ac:dyDescent="0.2">
      <c r="A157" s="1527"/>
      <c r="B157" s="862" t="s">
        <v>94</v>
      </c>
      <c r="C157" s="741"/>
      <c r="D157" s="741"/>
      <c r="E157" s="741"/>
      <c r="F157" s="867"/>
      <c r="G157" s="24"/>
    </row>
    <row r="158" spans="1:7" ht="13.5" thickBot="1" x14ac:dyDescent="0.25">
      <c r="A158" s="1527"/>
      <c r="B158" s="863" t="s">
        <v>104</v>
      </c>
      <c r="C158" s="743"/>
      <c r="D158" s="743"/>
      <c r="E158" s="743"/>
      <c r="F158" s="868"/>
      <c r="G158" s="24"/>
    </row>
    <row r="159" spans="1:7" ht="13.5" thickBot="1" x14ac:dyDescent="0.25">
      <c r="A159" s="1527"/>
      <c r="B159" s="1007" t="s">
        <v>14</v>
      </c>
      <c r="C159" s="1144">
        <f>SUM(C149:C158)</f>
        <v>1390854858</v>
      </c>
      <c r="D159" s="749">
        <f>SUM(D149:D158)</f>
        <v>1390894858</v>
      </c>
      <c r="E159" s="749">
        <f>SUM(E149:E158)</f>
        <v>39000</v>
      </c>
      <c r="F159" s="859">
        <f t="shared" ref="F159" si="5">E159/D159*100</f>
        <v>2.8039502609190033E-3</v>
      </c>
      <c r="G159" s="24"/>
    </row>
    <row r="160" spans="1:7" ht="13.5" thickBot="1" x14ac:dyDescent="0.25">
      <c r="A160" s="870" t="s">
        <v>72</v>
      </c>
      <c r="B160" s="871" t="s">
        <v>24</v>
      </c>
      <c r="C160" s="872" t="s">
        <v>156</v>
      </c>
      <c r="D160" s="872" t="s">
        <v>148</v>
      </c>
      <c r="E160" s="872" t="s">
        <v>149</v>
      </c>
      <c r="F160" s="873" t="s">
        <v>150</v>
      </c>
      <c r="G160" s="24"/>
    </row>
    <row r="161" spans="1:7" x14ac:dyDescent="0.2">
      <c r="A161" s="1526" t="s">
        <v>578</v>
      </c>
      <c r="B161" s="860" t="s">
        <v>88</v>
      </c>
      <c r="C161" s="853"/>
      <c r="D161" s="853"/>
      <c r="E161" s="853"/>
      <c r="F161" s="866"/>
      <c r="G161" s="24"/>
    </row>
    <row r="162" spans="1:7" ht="25.5" x14ac:dyDescent="0.2">
      <c r="A162" s="1527"/>
      <c r="B162" s="862" t="s">
        <v>101</v>
      </c>
      <c r="C162" s="727"/>
      <c r="D162" s="727"/>
      <c r="E162" s="727"/>
      <c r="F162" s="867"/>
      <c r="G162" s="24"/>
    </row>
    <row r="163" spans="1:7" x14ac:dyDescent="0.2">
      <c r="A163" s="1527"/>
      <c r="B163" s="862" t="s">
        <v>90</v>
      </c>
      <c r="C163" s="727"/>
      <c r="D163" s="727">
        <v>168580</v>
      </c>
      <c r="E163" s="727">
        <v>168580</v>
      </c>
      <c r="F163" s="867">
        <f>E163/D163*100</f>
        <v>100</v>
      </c>
      <c r="G163" s="24"/>
    </row>
    <row r="164" spans="1:7" x14ac:dyDescent="0.2">
      <c r="A164" s="1527"/>
      <c r="B164" s="862" t="s">
        <v>102</v>
      </c>
      <c r="C164" s="727"/>
      <c r="D164" s="727"/>
      <c r="E164" s="727"/>
      <c r="F164" s="867"/>
      <c r="G164" s="24"/>
    </row>
    <row r="165" spans="1:7" ht="25.5" x14ac:dyDescent="0.2">
      <c r="A165" s="1527"/>
      <c r="B165" s="862" t="s">
        <v>97</v>
      </c>
      <c r="C165" s="727"/>
      <c r="D165" s="727"/>
      <c r="E165" s="727"/>
      <c r="F165" s="867"/>
      <c r="G165" s="24"/>
    </row>
    <row r="166" spans="1:7" x14ac:dyDescent="0.2">
      <c r="A166" s="1527"/>
      <c r="B166" s="862" t="s">
        <v>103</v>
      </c>
      <c r="C166" s="727"/>
      <c r="D166" s="727"/>
      <c r="E166" s="727"/>
      <c r="F166" s="867"/>
      <c r="G166" s="24"/>
    </row>
    <row r="167" spans="1:7" x14ac:dyDescent="0.2">
      <c r="A167" s="1527"/>
      <c r="B167" s="862" t="s">
        <v>92</v>
      </c>
      <c r="C167" s="727"/>
      <c r="D167" s="727">
        <v>15020</v>
      </c>
      <c r="E167" s="727">
        <v>15020</v>
      </c>
      <c r="F167" s="867">
        <f>E167/D167*100</f>
        <v>100</v>
      </c>
      <c r="G167" s="24"/>
    </row>
    <row r="168" spans="1:7" x14ac:dyDescent="0.2">
      <c r="A168" s="1527"/>
      <c r="B168" s="862" t="s">
        <v>93</v>
      </c>
      <c r="C168" s="741"/>
      <c r="D168" s="741"/>
      <c r="E168" s="741"/>
      <c r="F168" s="867"/>
      <c r="G168" s="24"/>
    </row>
    <row r="169" spans="1:7" x14ac:dyDescent="0.2">
      <c r="A169" s="1527"/>
      <c r="B169" s="862" t="s">
        <v>94</v>
      </c>
      <c r="C169" s="741"/>
      <c r="D169" s="741"/>
      <c r="E169" s="741"/>
      <c r="F169" s="867"/>
      <c r="G169" s="24"/>
    </row>
    <row r="170" spans="1:7" ht="13.5" thickBot="1" x14ac:dyDescent="0.25">
      <c r="A170" s="1527"/>
      <c r="B170" s="863" t="s">
        <v>104</v>
      </c>
      <c r="C170" s="743"/>
      <c r="D170" s="743"/>
      <c r="E170" s="743"/>
      <c r="F170" s="868"/>
      <c r="G170" s="24"/>
    </row>
    <row r="171" spans="1:7" ht="13.5" thickBot="1" x14ac:dyDescent="0.25">
      <c r="A171" s="1527"/>
      <c r="B171" s="858" t="s">
        <v>14</v>
      </c>
      <c r="C171" s="749">
        <f>SUM(C161:C170)</f>
        <v>0</v>
      </c>
      <c r="D171" s="749">
        <f>SUM(D161:D170)</f>
        <v>183600</v>
      </c>
      <c r="E171" s="749">
        <f>SUM(E161:E170)</f>
        <v>183600</v>
      </c>
      <c r="F171" s="859">
        <f>E171/D171*100</f>
        <v>100</v>
      </c>
      <c r="G171" s="24"/>
    </row>
    <row r="172" spans="1:7" x14ac:dyDescent="0.2">
      <c r="A172" s="1526" t="s">
        <v>105</v>
      </c>
      <c r="B172" s="860" t="s">
        <v>88</v>
      </c>
      <c r="C172" s="853"/>
      <c r="D172" s="853"/>
      <c r="E172" s="853"/>
      <c r="F172" s="866"/>
      <c r="G172" s="24"/>
    </row>
    <row r="173" spans="1:7" ht="25.5" x14ac:dyDescent="0.2">
      <c r="A173" s="1527"/>
      <c r="B173" s="862" t="s">
        <v>101</v>
      </c>
      <c r="C173" s="727"/>
      <c r="D173" s="727"/>
      <c r="E173" s="727"/>
      <c r="F173" s="867"/>
      <c r="G173" s="24"/>
    </row>
    <row r="174" spans="1:7" x14ac:dyDescent="0.2">
      <c r="A174" s="1527"/>
      <c r="B174" s="862" t="s">
        <v>90</v>
      </c>
      <c r="C174" s="727">
        <v>15148510</v>
      </c>
      <c r="D174" s="727">
        <v>14426259</v>
      </c>
      <c r="E174" s="727">
        <v>14426259</v>
      </c>
      <c r="F174" s="867">
        <f>E174/D174*100</f>
        <v>100</v>
      </c>
      <c r="G174" s="24"/>
    </row>
    <row r="175" spans="1:7" x14ac:dyDescent="0.2">
      <c r="A175" s="1527"/>
      <c r="B175" s="862" t="s">
        <v>102</v>
      </c>
      <c r="C175" s="727"/>
      <c r="D175" s="727"/>
      <c r="E175" s="727"/>
      <c r="F175" s="867"/>
      <c r="G175" s="24"/>
    </row>
    <row r="176" spans="1:7" ht="25.5" x14ac:dyDescent="0.2">
      <c r="A176" s="1527"/>
      <c r="B176" s="862" t="s">
        <v>97</v>
      </c>
      <c r="C176" s="727">
        <v>488675</v>
      </c>
      <c r="D176" s="727">
        <v>451238</v>
      </c>
      <c r="E176" s="727">
        <v>451238</v>
      </c>
      <c r="F176" s="867">
        <f>E176/D176*100</f>
        <v>100</v>
      </c>
      <c r="G176" s="24"/>
    </row>
    <row r="177" spans="1:7" x14ac:dyDescent="0.2">
      <c r="A177" s="1527"/>
      <c r="B177" s="862" t="s">
        <v>103</v>
      </c>
      <c r="C177" s="727"/>
      <c r="D177" s="727"/>
      <c r="E177" s="727"/>
      <c r="F177" s="867"/>
      <c r="G177" s="24"/>
    </row>
    <row r="178" spans="1:7" x14ac:dyDescent="0.2">
      <c r="A178" s="1527"/>
      <c r="B178" s="862" t="s">
        <v>92</v>
      </c>
      <c r="C178" s="727"/>
      <c r="D178" s="727"/>
      <c r="E178" s="727"/>
      <c r="F178" s="867"/>
      <c r="G178" s="24"/>
    </row>
    <row r="179" spans="1:7" x14ac:dyDescent="0.2">
      <c r="A179" s="1527"/>
      <c r="B179" s="862" t="s">
        <v>93</v>
      </c>
      <c r="C179" s="741"/>
      <c r="D179" s="741"/>
      <c r="E179" s="741"/>
      <c r="F179" s="867"/>
      <c r="G179" s="24"/>
    </row>
    <row r="180" spans="1:7" x14ac:dyDescent="0.2">
      <c r="A180" s="1527"/>
      <c r="B180" s="862" t="s">
        <v>94</v>
      </c>
      <c r="C180" s="741"/>
      <c r="D180" s="741"/>
      <c r="E180" s="741"/>
      <c r="F180" s="867"/>
      <c r="G180" s="24"/>
    </row>
    <row r="181" spans="1:7" ht="13.5" thickBot="1" x14ac:dyDescent="0.25">
      <c r="A181" s="1527"/>
      <c r="B181" s="863" t="s">
        <v>104</v>
      </c>
      <c r="C181" s="743"/>
      <c r="D181" s="743"/>
      <c r="E181" s="743"/>
      <c r="F181" s="868"/>
      <c r="G181" s="24"/>
    </row>
    <row r="182" spans="1:7" ht="13.5" thickBot="1" x14ac:dyDescent="0.25">
      <c r="A182" s="1527"/>
      <c r="B182" s="1140" t="s">
        <v>14</v>
      </c>
      <c r="C182" s="1134">
        <f>SUM(C172:C181)</f>
        <v>15637185</v>
      </c>
      <c r="D182" s="1134">
        <f>SUM(D172:D181)</f>
        <v>14877497</v>
      </c>
      <c r="E182" s="1134">
        <f>SUM(E172:E181)</f>
        <v>14877497</v>
      </c>
      <c r="F182" s="1000">
        <f>E182/D182*100</f>
        <v>100</v>
      </c>
      <c r="G182" s="24"/>
    </row>
    <row r="183" spans="1:7" x14ac:dyDescent="0.2">
      <c r="A183" s="1526" t="s">
        <v>434</v>
      </c>
      <c r="B183" s="860" t="s">
        <v>88</v>
      </c>
      <c r="C183" s="880">
        <v>2346100</v>
      </c>
      <c r="D183" s="880">
        <v>2346200</v>
      </c>
      <c r="E183" s="998">
        <v>3315338</v>
      </c>
      <c r="F183" s="866">
        <f>E183/D183*100</f>
        <v>141.30670872048418</v>
      </c>
      <c r="G183" s="24"/>
    </row>
    <row r="184" spans="1:7" ht="25.5" x14ac:dyDescent="0.2">
      <c r="A184" s="1527"/>
      <c r="B184" s="862" t="s">
        <v>101</v>
      </c>
      <c r="C184" s="881">
        <v>462000</v>
      </c>
      <c r="D184" s="881">
        <v>462000</v>
      </c>
      <c r="E184" s="999">
        <v>765416</v>
      </c>
      <c r="F184" s="867">
        <f t="shared" ref="F184:F189" si="6">E184/D184*100</f>
        <v>165.67445887445888</v>
      </c>
      <c r="G184" s="24"/>
    </row>
    <row r="185" spans="1:7" x14ac:dyDescent="0.2">
      <c r="A185" s="1527"/>
      <c r="B185" s="862" t="s">
        <v>90</v>
      </c>
      <c r="C185" s="881">
        <v>10795000</v>
      </c>
      <c r="D185" s="881">
        <v>8530462</v>
      </c>
      <c r="E185" s="999">
        <v>8514130</v>
      </c>
      <c r="F185" s="867">
        <f t="shared" si="6"/>
        <v>99.808544953368298</v>
      </c>
      <c r="G185" s="24"/>
    </row>
    <row r="186" spans="1:7" x14ac:dyDescent="0.2">
      <c r="A186" s="1527"/>
      <c r="B186" s="862" t="s">
        <v>102</v>
      </c>
      <c r="C186" s="881"/>
      <c r="D186" s="881"/>
      <c r="E186" s="999"/>
      <c r="F186" s="867"/>
      <c r="G186" s="24"/>
    </row>
    <row r="187" spans="1:7" ht="25.5" x14ac:dyDescent="0.2">
      <c r="A187" s="1527"/>
      <c r="B187" s="862" t="s">
        <v>97</v>
      </c>
      <c r="C187" s="881">
        <v>4871899</v>
      </c>
      <c r="D187" s="881">
        <v>4632076</v>
      </c>
      <c r="E187" s="999">
        <v>4623160</v>
      </c>
      <c r="F187" s="867">
        <f t="shared" si="6"/>
        <v>99.807516111566386</v>
      </c>
      <c r="G187" s="24"/>
    </row>
    <row r="188" spans="1:7" x14ac:dyDescent="0.2">
      <c r="A188" s="1527"/>
      <c r="B188" s="862" t="s">
        <v>103</v>
      </c>
      <c r="C188" s="881"/>
      <c r="D188" s="881"/>
      <c r="E188" s="999"/>
      <c r="F188" s="867"/>
      <c r="G188" s="24"/>
    </row>
    <row r="189" spans="1:7" x14ac:dyDescent="0.2">
      <c r="A189" s="1527"/>
      <c r="B189" s="862" t="s">
        <v>92</v>
      </c>
      <c r="C189" s="881">
        <v>27370000</v>
      </c>
      <c r="D189" s="881">
        <v>27761000</v>
      </c>
      <c r="E189" s="999">
        <v>8332036</v>
      </c>
      <c r="F189" s="867">
        <f t="shared" si="6"/>
        <v>30.013457728467998</v>
      </c>
      <c r="G189" s="24"/>
    </row>
    <row r="190" spans="1:7" x14ac:dyDescent="0.2">
      <c r="A190" s="1527"/>
      <c r="B190" s="862" t="s">
        <v>93</v>
      </c>
      <c r="C190" s="845"/>
      <c r="D190" s="845"/>
      <c r="E190" s="999"/>
      <c r="F190" s="867"/>
      <c r="G190" s="24"/>
    </row>
    <row r="191" spans="1:7" x14ac:dyDescent="0.2">
      <c r="A191" s="1527"/>
      <c r="B191" s="862" t="s">
        <v>94</v>
      </c>
      <c r="C191" s="845"/>
      <c r="D191" s="845"/>
      <c r="E191" s="999"/>
      <c r="F191" s="867"/>
      <c r="G191" s="24"/>
    </row>
    <row r="192" spans="1:7" ht="13.5" thickBot="1" x14ac:dyDescent="0.25">
      <c r="A192" s="1527"/>
      <c r="B192" s="1131" t="s">
        <v>104</v>
      </c>
      <c r="C192" s="1351"/>
      <c r="D192" s="1351"/>
      <c r="E192" s="1352"/>
      <c r="F192" s="1353"/>
      <c r="G192" s="24"/>
    </row>
    <row r="193" spans="1:7" ht="13.5" thickBot="1" x14ac:dyDescent="0.25">
      <c r="A193" s="1527"/>
      <c r="B193" s="1354" t="s">
        <v>14</v>
      </c>
      <c r="C193" s="1355">
        <f>SUM(C183:C192)</f>
        <v>45844999</v>
      </c>
      <c r="D193" s="1355">
        <f>SUM(D183:D192)</f>
        <v>43731738</v>
      </c>
      <c r="E193" s="1355">
        <f>SUM(E183:E192)</f>
        <v>25550080</v>
      </c>
      <c r="F193" s="1356">
        <f>E193/D193*100</f>
        <v>58.42457027433943</v>
      </c>
      <c r="G193" s="24"/>
    </row>
    <row r="194" spans="1:7" x14ac:dyDescent="0.2">
      <c r="A194" s="1526" t="s">
        <v>107</v>
      </c>
      <c r="B194" s="860" t="s">
        <v>88</v>
      </c>
      <c r="C194" s="853">
        <v>480000</v>
      </c>
      <c r="D194" s="853">
        <v>480000</v>
      </c>
      <c r="E194" s="853">
        <v>475000</v>
      </c>
      <c r="F194" s="866">
        <f>E194/D194*100</f>
        <v>98.958333333333343</v>
      </c>
      <c r="G194" s="24"/>
    </row>
    <row r="195" spans="1:7" ht="25.5" x14ac:dyDescent="0.2">
      <c r="A195" s="1527"/>
      <c r="B195" s="862" t="s">
        <v>101</v>
      </c>
      <c r="C195" s="727">
        <v>85200</v>
      </c>
      <c r="D195" s="727">
        <v>85200</v>
      </c>
      <c r="E195" s="727">
        <v>127884</v>
      </c>
      <c r="F195" s="867">
        <f>E195/D195*100</f>
        <v>150.09859154929578</v>
      </c>
      <c r="G195" s="24"/>
    </row>
    <row r="196" spans="1:7" x14ac:dyDescent="0.2">
      <c r="A196" s="1527"/>
      <c r="B196" s="862" t="s">
        <v>90</v>
      </c>
      <c r="C196" s="727">
        <v>304000</v>
      </c>
      <c r="D196" s="727">
        <v>1253282</v>
      </c>
      <c r="E196" s="727">
        <v>1701668</v>
      </c>
      <c r="F196" s="867">
        <f>E196/D196*100</f>
        <v>135.77694405568738</v>
      </c>
      <c r="G196" s="24"/>
    </row>
    <row r="197" spans="1:7" x14ac:dyDescent="0.2">
      <c r="A197" s="1527"/>
      <c r="B197" s="862" t="s">
        <v>102</v>
      </c>
      <c r="C197" s="727"/>
      <c r="D197" s="727"/>
      <c r="E197" s="727"/>
      <c r="F197" s="867"/>
      <c r="G197" s="24"/>
    </row>
    <row r="198" spans="1:7" ht="25.5" x14ac:dyDescent="0.2">
      <c r="A198" s="1527"/>
      <c r="B198" s="862" t="s">
        <v>97</v>
      </c>
      <c r="C198" s="727"/>
      <c r="D198" s="727"/>
      <c r="E198" s="727"/>
      <c r="F198" s="867"/>
      <c r="G198" s="24"/>
    </row>
    <row r="199" spans="1:7" x14ac:dyDescent="0.2">
      <c r="A199" s="1527"/>
      <c r="B199" s="862" t="s">
        <v>103</v>
      </c>
      <c r="C199" s="727"/>
      <c r="D199" s="727"/>
      <c r="E199" s="727"/>
      <c r="F199" s="867"/>
      <c r="G199" s="24"/>
    </row>
    <row r="200" spans="1:7" x14ac:dyDescent="0.2">
      <c r="A200" s="1527"/>
      <c r="B200" s="862" t="s">
        <v>92</v>
      </c>
      <c r="C200" s="727"/>
      <c r="D200" s="727"/>
      <c r="E200" s="727"/>
      <c r="F200" s="867"/>
      <c r="G200" s="24"/>
    </row>
    <row r="201" spans="1:7" x14ac:dyDescent="0.2">
      <c r="A201" s="1527"/>
      <c r="B201" s="862" t="s">
        <v>93</v>
      </c>
      <c r="C201" s="741"/>
      <c r="D201" s="741"/>
      <c r="E201" s="741"/>
      <c r="F201" s="867"/>
      <c r="G201" s="24"/>
    </row>
    <row r="202" spans="1:7" x14ac:dyDescent="0.2">
      <c r="A202" s="1527"/>
      <c r="B202" s="862" t="s">
        <v>94</v>
      </c>
      <c r="C202" s="741"/>
      <c r="D202" s="741"/>
      <c r="E202" s="741"/>
      <c r="F202" s="867"/>
      <c r="G202" s="24"/>
    </row>
    <row r="203" spans="1:7" x14ac:dyDescent="0.2">
      <c r="A203" s="1527"/>
      <c r="B203" s="862" t="s">
        <v>104</v>
      </c>
      <c r="C203" s="741"/>
      <c r="D203" s="741"/>
      <c r="E203" s="741"/>
      <c r="F203" s="867"/>
      <c r="G203" s="24"/>
    </row>
    <row r="204" spans="1:7" ht="13.5" thickBot="1" x14ac:dyDescent="0.25">
      <c r="A204" s="1527"/>
      <c r="B204" s="1359" t="s">
        <v>14</v>
      </c>
      <c r="C204" s="1143">
        <f>SUM(C194:C203)</f>
        <v>869200</v>
      </c>
      <c r="D204" s="1143">
        <f>SUM(D194:D203)</f>
        <v>1818482</v>
      </c>
      <c r="E204" s="1143">
        <f>SUM(E194:E203)</f>
        <v>2304552</v>
      </c>
      <c r="F204" s="864">
        <f>E204/D204*100</f>
        <v>126.72943696995627</v>
      </c>
      <c r="G204" s="24"/>
    </row>
    <row r="205" spans="1:7" x14ac:dyDescent="0.2">
      <c r="A205" s="1526" t="s">
        <v>108</v>
      </c>
      <c r="B205" s="860" t="s">
        <v>88</v>
      </c>
      <c r="C205" s="853"/>
      <c r="D205" s="853"/>
      <c r="E205" s="853"/>
      <c r="F205" s="866"/>
      <c r="G205" s="24"/>
    </row>
    <row r="206" spans="1:7" ht="25.5" x14ac:dyDescent="0.2">
      <c r="A206" s="1527"/>
      <c r="B206" s="862" t="s">
        <v>101</v>
      </c>
      <c r="C206" s="727"/>
      <c r="D206" s="727"/>
      <c r="E206" s="727"/>
      <c r="F206" s="867"/>
      <c r="G206" s="24"/>
    </row>
    <row r="207" spans="1:7" x14ac:dyDescent="0.2">
      <c r="A207" s="1527"/>
      <c r="B207" s="862" t="s">
        <v>90</v>
      </c>
      <c r="C207" s="727"/>
      <c r="D207" s="727"/>
      <c r="E207" s="727"/>
      <c r="F207" s="867"/>
      <c r="G207" s="24"/>
    </row>
    <row r="208" spans="1:7" x14ac:dyDescent="0.2">
      <c r="A208" s="1527"/>
      <c r="B208" s="862" t="s">
        <v>102</v>
      </c>
      <c r="C208" s="727"/>
      <c r="D208" s="727"/>
      <c r="E208" s="727"/>
      <c r="F208" s="867"/>
      <c r="G208" s="24"/>
    </row>
    <row r="209" spans="1:7" ht="25.5" x14ac:dyDescent="0.2">
      <c r="A209" s="1527"/>
      <c r="B209" s="862" t="s">
        <v>97</v>
      </c>
      <c r="C209" s="727">
        <v>9676437</v>
      </c>
      <c r="D209" s="727">
        <v>7654428</v>
      </c>
      <c r="E209" s="727">
        <v>7634500</v>
      </c>
      <c r="F209" s="867">
        <f>E209/D209*100</f>
        <v>99.739653962386228</v>
      </c>
      <c r="G209" s="24"/>
    </row>
    <row r="210" spans="1:7" x14ac:dyDescent="0.2">
      <c r="A210" s="1527"/>
      <c r="B210" s="862" t="s">
        <v>103</v>
      </c>
      <c r="C210" s="727"/>
      <c r="D210" s="727"/>
      <c r="E210" s="727"/>
      <c r="F210" s="867"/>
      <c r="G210" s="24"/>
    </row>
    <row r="211" spans="1:7" x14ac:dyDescent="0.2">
      <c r="A211" s="1527"/>
      <c r="B211" s="862" t="s">
        <v>92</v>
      </c>
      <c r="C211" s="727"/>
      <c r="D211" s="727"/>
      <c r="E211" s="727"/>
      <c r="F211" s="867"/>
      <c r="G211" s="24"/>
    </row>
    <row r="212" spans="1:7" x14ac:dyDescent="0.2">
      <c r="A212" s="1527"/>
      <c r="B212" s="862" t="s">
        <v>93</v>
      </c>
      <c r="C212" s="741"/>
      <c r="D212" s="741"/>
      <c r="E212" s="741"/>
      <c r="F212" s="867"/>
      <c r="G212" s="24"/>
    </row>
    <row r="213" spans="1:7" x14ac:dyDescent="0.2">
      <c r="A213" s="1527"/>
      <c r="B213" s="862" t="s">
        <v>94</v>
      </c>
      <c r="C213" s="741"/>
      <c r="D213" s="741"/>
      <c r="E213" s="741"/>
      <c r="F213" s="867"/>
      <c r="G213" s="24"/>
    </row>
    <row r="214" spans="1:7" ht="13.5" thickBot="1" x14ac:dyDescent="0.25">
      <c r="A214" s="1527"/>
      <c r="B214" s="1131" t="s">
        <v>104</v>
      </c>
      <c r="C214" s="1351"/>
      <c r="D214" s="1351"/>
      <c r="E214" s="1351"/>
      <c r="F214" s="1353"/>
      <c r="G214" s="24"/>
    </row>
    <row r="215" spans="1:7" ht="13.5" thickBot="1" x14ac:dyDescent="0.25">
      <c r="A215" s="1527"/>
      <c r="B215" s="1348" t="s">
        <v>14</v>
      </c>
      <c r="C215" s="1349">
        <f>SUM(C205:C214)</f>
        <v>9676437</v>
      </c>
      <c r="D215" s="1349">
        <f>SUM(D205:D214)</f>
        <v>7654428</v>
      </c>
      <c r="E215" s="1349">
        <f>SUM(E205:E214)</f>
        <v>7634500</v>
      </c>
      <c r="F215" s="1350">
        <f>E215/D215*100</f>
        <v>99.739653962386228</v>
      </c>
      <c r="G215" s="24"/>
    </row>
    <row r="216" spans="1:7" x14ac:dyDescent="0.2">
      <c r="A216" s="1526" t="s">
        <v>163</v>
      </c>
      <c r="B216" s="860" t="s">
        <v>88</v>
      </c>
      <c r="C216" s="853"/>
      <c r="D216" s="853"/>
      <c r="E216" s="853"/>
      <c r="F216" s="866"/>
      <c r="G216" s="24"/>
    </row>
    <row r="217" spans="1:7" ht="25.5" x14ac:dyDescent="0.2">
      <c r="A217" s="1527"/>
      <c r="B217" s="862" t="s">
        <v>101</v>
      </c>
      <c r="C217" s="727"/>
      <c r="D217" s="727"/>
      <c r="E217" s="727"/>
      <c r="F217" s="867"/>
      <c r="G217" s="24"/>
    </row>
    <row r="218" spans="1:7" x14ac:dyDescent="0.2">
      <c r="A218" s="1527"/>
      <c r="B218" s="862" t="s">
        <v>90</v>
      </c>
      <c r="C218" s="727">
        <v>2530100</v>
      </c>
      <c r="D218" s="727">
        <v>15632839</v>
      </c>
      <c r="E218" s="727">
        <v>15668892</v>
      </c>
      <c r="F218" s="867">
        <f>E218/D218*100</f>
        <v>100.230623497114</v>
      </c>
      <c r="G218" s="24"/>
    </row>
    <row r="219" spans="1:7" x14ac:dyDescent="0.2">
      <c r="A219" s="1527"/>
      <c r="B219" s="862" t="s">
        <v>102</v>
      </c>
      <c r="C219" s="727"/>
      <c r="D219" s="727"/>
      <c r="E219" s="727"/>
      <c r="F219" s="867"/>
      <c r="G219" s="24"/>
    </row>
    <row r="220" spans="1:7" ht="25.5" x14ac:dyDescent="0.2">
      <c r="A220" s="1527"/>
      <c r="B220" s="862" t="s">
        <v>97</v>
      </c>
      <c r="C220" s="727">
        <v>1043487</v>
      </c>
      <c r="D220" s="727">
        <v>930809</v>
      </c>
      <c r="E220" s="727">
        <v>930809</v>
      </c>
      <c r="F220" s="867">
        <f>E220/D220*100</f>
        <v>100</v>
      </c>
      <c r="G220" s="24"/>
    </row>
    <row r="221" spans="1:7" x14ac:dyDescent="0.2">
      <c r="A221" s="1527"/>
      <c r="B221" s="862" t="s">
        <v>103</v>
      </c>
      <c r="C221" s="727"/>
      <c r="D221" s="727"/>
      <c r="E221" s="727"/>
      <c r="F221" s="867"/>
      <c r="G221" s="24"/>
    </row>
    <row r="222" spans="1:7" x14ac:dyDescent="0.2">
      <c r="A222" s="1527"/>
      <c r="B222" s="862" t="s">
        <v>92</v>
      </c>
      <c r="C222" s="727"/>
      <c r="D222" s="727"/>
      <c r="E222" s="727"/>
      <c r="F222" s="867"/>
      <c r="G222" s="24"/>
    </row>
    <row r="223" spans="1:7" x14ac:dyDescent="0.2">
      <c r="A223" s="1527"/>
      <c r="B223" s="862" t="s">
        <v>93</v>
      </c>
      <c r="C223" s="741"/>
      <c r="D223" s="741"/>
      <c r="E223" s="741"/>
      <c r="F223" s="867"/>
      <c r="G223" s="24"/>
    </row>
    <row r="224" spans="1:7" x14ac:dyDescent="0.2">
      <c r="A224" s="1527"/>
      <c r="B224" s="862" t="s">
        <v>94</v>
      </c>
      <c r="C224" s="741"/>
      <c r="D224" s="741"/>
      <c r="E224" s="741"/>
      <c r="F224" s="867"/>
      <c r="G224" s="24"/>
    </row>
    <row r="225" spans="1:7" ht="13.5" thickBot="1" x14ac:dyDescent="0.25">
      <c r="A225" s="1527"/>
      <c r="B225" s="863" t="s">
        <v>104</v>
      </c>
      <c r="C225" s="743"/>
      <c r="D225" s="743"/>
      <c r="E225" s="743"/>
      <c r="F225" s="868"/>
      <c r="G225" s="24"/>
    </row>
    <row r="226" spans="1:7" ht="13.5" thickBot="1" x14ac:dyDescent="0.25">
      <c r="A226" s="1527"/>
      <c r="B226" s="858" t="s">
        <v>14</v>
      </c>
      <c r="C226" s="749">
        <f>SUM(C216:C225)</f>
        <v>3573587</v>
      </c>
      <c r="D226" s="749">
        <f>SUM(D216:D225)</f>
        <v>16563648</v>
      </c>
      <c r="E226" s="749">
        <f>SUM(E216:E225)</f>
        <v>16599701</v>
      </c>
      <c r="F226" s="859">
        <f>E226/D226*100</f>
        <v>100.21766340361738</v>
      </c>
      <c r="G226" s="24"/>
    </row>
    <row r="227" spans="1:7" x14ac:dyDescent="0.2">
      <c r="A227" s="1526" t="s">
        <v>109</v>
      </c>
      <c r="B227" s="860" t="s">
        <v>88</v>
      </c>
      <c r="C227" s="853"/>
      <c r="D227" s="853"/>
      <c r="E227" s="853"/>
      <c r="F227" s="861"/>
      <c r="G227" s="24"/>
    </row>
    <row r="228" spans="1:7" ht="25.5" x14ac:dyDescent="0.2">
      <c r="A228" s="1527"/>
      <c r="B228" s="862" t="s">
        <v>101</v>
      </c>
      <c r="C228" s="727"/>
      <c r="D228" s="727"/>
      <c r="E228" s="727"/>
      <c r="F228" s="854"/>
      <c r="G228" s="24"/>
    </row>
    <row r="229" spans="1:7" x14ac:dyDescent="0.2">
      <c r="A229" s="1527"/>
      <c r="B229" s="862" t="s">
        <v>90</v>
      </c>
      <c r="C229" s="727">
        <v>279400</v>
      </c>
      <c r="D229" s="727"/>
      <c r="E229" s="727"/>
      <c r="F229" s="854"/>
      <c r="G229" s="24"/>
    </row>
    <row r="230" spans="1:7" x14ac:dyDescent="0.2">
      <c r="A230" s="1527"/>
      <c r="B230" s="862" t="s">
        <v>102</v>
      </c>
      <c r="C230" s="727"/>
      <c r="D230" s="727"/>
      <c r="E230" s="727"/>
      <c r="F230" s="854"/>
      <c r="G230" s="24"/>
    </row>
    <row r="231" spans="1:7" ht="25.5" x14ac:dyDescent="0.2">
      <c r="A231" s="1527"/>
      <c r="B231" s="862" t="s">
        <v>97</v>
      </c>
      <c r="C231" s="727"/>
      <c r="D231" s="727"/>
      <c r="E231" s="727"/>
      <c r="F231" s="854"/>
      <c r="G231" s="24"/>
    </row>
    <row r="232" spans="1:7" x14ac:dyDescent="0.2">
      <c r="A232" s="1527"/>
      <c r="B232" s="862" t="s">
        <v>103</v>
      </c>
      <c r="C232" s="727"/>
      <c r="D232" s="727"/>
      <c r="E232" s="727"/>
      <c r="F232" s="854"/>
      <c r="G232" s="24"/>
    </row>
    <row r="233" spans="1:7" x14ac:dyDescent="0.2">
      <c r="A233" s="1527"/>
      <c r="B233" s="862" t="s">
        <v>92</v>
      </c>
      <c r="C233" s="727"/>
      <c r="D233" s="727"/>
      <c r="E233" s="727"/>
      <c r="F233" s="854"/>
      <c r="G233" s="24"/>
    </row>
    <row r="234" spans="1:7" x14ac:dyDescent="0.2">
      <c r="A234" s="1527"/>
      <c r="B234" s="862" t="s">
        <v>93</v>
      </c>
      <c r="C234" s="741"/>
      <c r="D234" s="741"/>
      <c r="E234" s="741"/>
      <c r="F234" s="854"/>
      <c r="G234" s="24"/>
    </row>
    <row r="235" spans="1:7" x14ac:dyDescent="0.2">
      <c r="A235" s="1527"/>
      <c r="B235" s="862" t="s">
        <v>94</v>
      </c>
      <c r="C235" s="741"/>
      <c r="D235" s="741"/>
      <c r="E235" s="741"/>
      <c r="F235" s="854"/>
      <c r="G235" s="24"/>
    </row>
    <row r="236" spans="1:7" ht="13.5" thickBot="1" x14ac:dyDescent="0.25">
      <c r="A236" s="1527"/>
      <c r="B236" s="863" t="s">
        <v>104</v>
      </c>
      <c r="C236" s="743"/>
      <c r="D236" s="743"/>
      <c r="E236" s="743"/>
      <c r="F236" s="864"/>
      <c r="G236" s="24"/>
    </row>
    <row r="237" spans="1:7" ht="13.5" thickBot="1" x14ac:dyDescent="0.25">
      <c r="A237" s="1527"/>
      <c r="B237" s="858" t="s">
        <v>14</v>
      </c>
      <c r="C237" s="749">
        <f>SUM(C227:C236)</f>
        <v>279400</v>
      </c>
      <c r="D237" s="749">
        <f>SUM(D227:D236)</f>
        <v>0</v>
      </c>
      <c r="E237" s="749">
        <f>SUM(E227:E236)</f>
        <v>0</v>
      </c>
      <c r="F237" s="859"/>
      <c r="G237" s="24"/>
    </row>
    <row r="238" spans="1:7" x14ac:dyDescent="0.2">
      <c r="A238" s="1526" t="s">
        <v>312</v>
      </c>
      <c r="B238" s="860" t="s">
        <v>88</v>
      </c>
      <c r="C238" s="853"/>
      <c r="D238" s="853"/>
      <c r="E238" s="853"/>
      <c r="F238" s="866"/>
      <c r="G238" s="24"/>
    </row>
    <row r="239" spans="1:7" ht="25.5" x14ac:dyDescent="0.2">
      <c r="A239" s="1527"/>
      <c r="B239" s="862" t="s">
        <v>101</v>
      </c>
      <c r="C239" s="727"/>
      <c r="D239" s="727"/>
      <c r="E239" s="727"/>
      <c r="F239" s="867"/>
      <c r="G239" s="24"/>
    </row>
    <row r="240" spans="1:7" x14ac:dyDescent="0.2">
      <c r="A240" s="1527"/>
      <c r="B240" s="862" t="s">
        <v>90</v>
      </c>
      <c r="C240" s="727">
        <v>64000</v>
      </c>
      <c r="D240" s="727">
        <v>122682</v>
      </c>
      <c r="E240" s="727">
        <v>122682</v>
      </c>
      <c r="F240" s="867">
        <f>E240/D240*100</f>
        <v>100</v>
      </c>
      <c r="G240" s="24"/>
    </row>
    <row r="241" spans="1:7" x14ac:dyDescent="0.2">
      <c r="A241" s="1527"/>
      <c r="B241" s="862" t="s">
        <v>102</v>
      </c>
      <c r="C241" s="727"/>
      <c r="D241" s="727"/>
      <c r="E241" s="727"/>
      <c r="F241" s="867"/>
      <c r="G241" s="24"/>
    </row>
    <row r="242" spans="1:7" ht="25.5" x14ac:dyDescent="0.2">
      <c r="A242" s="1527"/>
      <c r="B242" s="862" t="s">
        <v>97</v>
      </c>
      <c r="C242" s="727"/>
      <c r="D242" s="727"/>
      <c r="E242" s="727"/>
      <c r="F242" s="867"/>
      <c r="G242" s="24"/>
    </row>
    <row r="243" spans="1:7" x14ac:dyDescent="0.2">
      <c r="A243" s="1527"/>
      <c r="B243" s="862" t="s">
        <v>103</v>
      </c>
      <c r="C243" s="727"/>
      <c r="D243" s="727"/>
      <c r="E243" s="727"/>
      <c r="F243" s="867"/>
      <c r="G243" s="24"/>
    </row>
    <row r="244" spans="1:7" x14ac:dyDescent="0.2">
      <c r="A244" s="1527"/>
      <c r="B244" s="862" t="s">
        <v>92</v>
      </c>
      <c r="C244" s="727"/>
      <c r="D244" s="727"/>
      <c r="E244" s="727"/>
      <c r="F244" s="867"/>
      <c r="G244" s="24"/>
    </row>
    <row r="245" spans="1:7" x14ac:dyDescent="0.2">
      <c r="A245" s="1527"/>
      <c r="B245" s="862" t="s">
        <v>93</v>
      </c>
      <c r="C245" s="741"/>
      <c r="D245" s="741"/>
      <c r="E245" s="741"/>
      <c r="F245" s="867"/>
      <c r="G245" s="24"/>
    </row>
    <row r="246" spans="1:7" x14ac:dyDescent="0.2">
      <c r="A246" s="1527"/>
      <c r="B246" s="862" t="s">
        <v>94</v>
      </c>
      <c r="C246" s="741"/>
      <c r="D246" s="741"/>
      <c r="E246" s="741"/>
      <c r="F246" s="867"/>
      <c r="G246" s="24"/>
    </row>
    <row r="247" spans="1:7" ht="13.5" thickBot="1" x14ac:dyDescent="0.25">
      <c r="A247" s="1527"/>
      <c r="B247" s="863" t="s">
        <v>104</v>
      </c>
      <c r="C247" s="743"/>
      <c r="D247" s="743"/>
      <c r="E247" s="743"/>
      <c r="F247" s="864"/>
      <c r="G247" s="24"/>
    </row>
    <row r="248" spans="1:7" ht="13.5" thickBot="1" x14ac:dyDescent="0.25">
      <c r="A248" s="1527"/>
      <c r="B248" s="858" t="s">
        <v>14</v>
      </c>
      <c r="C248" s="749">
        <f>SUM(C238:C247)</f>
        <v>64000</v>
      </c>
      <c r="D248" s="749">
        <f>SUM(D238:D247)</f>
        <v>122682</v>
      </c>
      <c r="E248" s="749">
        <f>SUM(E238:E247)</f>
        <v>122682</v>
      </c>
      <c r="F248" s="859">
        <f>E248/D248*100</f>
        <v>100</v>
      </c>
      <c r="G248" s="24"/>
    </row>
    <row r="249" spans="1:7" x14ac:dyDescent="0.2">
      <c r="A249" s="1526" t="s">
        <v>435</v>
      </c>
      <c r="B249" s="1148" t="s">
        <v>88</v>
      </c>
      <c r="C249" s="1141"/>
      <c r="D249" s="1141"/>
      <c r="E249" s="1347"/>
      <c r="F249" s="1141"/>
      <c r="G249" s="24"/>
    </row>
    <row r="250" spans="1:7" ht="25.5" x14ac:dyDescent="0.2">
      <c r="A250" s="1527"/>
      <c r="B250" s="862" t="s">
        <v>101</v>
      </c>
      <c r="C250" s="727"/>
      <c r="D250" s="727"/>
      <c r="E250" s="1001"/>
      <c r="F250" s="727"/>
      <c r="G250" s="24"/>
    </row>
    <row r="251" spans="1:7" x14ac:dyDescent="0.2">
      <c r="A251" s="1527"/>
      <c r="B251" s="862" t="s">
        <v>90</v>
      </c>
      <c r="C251" s="727"/>
      <c r="D251" s="727"/>
      <c r="E251" s="1001"/>
      <c r="F251" s="727"/>
      <c r="G251" s="24"/>
    </row>
    <row r="252" spans="1:7" x14ac:dyDescent="0.2">
      <c r="A252" s="1527"/>
      <c r="B252" s="862" t="s">
        <v>102</v>
      </c>
      <c r="C252" s="727"/>
      <c r="D252" s="727"/>
      <c r="E252" s="1001"/>
      <c r="F252" s="727"/>
      <c r="G252" s="24"/>
    </row>
    <row r="253" spans="1:7" ht="25.5" x14ac:dyDescent="0.2">
      <c r="A253" s="1527"/>
      <c r="B253" s="862" t="s">
        <v>97</v>
      </c>
      <c r="C253" s="727"/>
      <c r="D253" s="727"/>
      <c r="E253" s="1001"/>
      <c r="F253" s="727"/>
      <c r="G253" s="24"/>
    </row>
    <row r="254" spans="1:7" x14ac:dyDescent="0.2">
      <c r="A254" s="1527"/>
      <c r="B254" s="862" t="s">
        <v>103</v>
      </c>
      <c r="C254" s="727"/>
      <c r="D254" s="727"/>
      <c r="E254" s="1001"/>
      <c r="F254" s="727"/>
      <c r="G254" s="24"/>
    </row>
    <row r="255" spans="1:7" x14ac:dyDescent="0.2">
      <c r="A255" s="1527"/>
      <c r="B255" s="862" t="s">
        <v>92</v>
      </c>
      <c r="C255" s="727"/>
      <c r="D255" s="727"/>
      <c r="E255" s="1001"/>
      <c r="F255" s="727"/>
      <c r="G255" s="24"/>
    </row>
    <row r="256" spans="1:7" x14ac:dyDescent="0.2">
      <c r="A256" s="1527"/>
      <c r="B256" s="862" t="s">
        <v>93</v>
      </c>
      <c r="C256" s="741">
        <v>762452</v>
      </c>
      <c r="D256" s="741">
        <v>778406</v>
      </c>
      <c r="E256" s="1002">
        <v>870705</v>
      </c>
      <c r="F256" s="727">
        <f>E256/D256*100</f>
        <v>111.85743686456682</v>
      </c>
      <c r="G256" s="24"/>
    </row>
    <row r="257" spans="1:7" x14ac:dyDescent="0.2">
      <c r="A257" s="1527"/>
      <c r="B257" s="862" t="s">
        <v>94</v>
      </c>
      <c r="C257" s="741"/>
      <c r="D257" s="741"/>
      <c r="E257" s="1002"/>
      <c r="F257" s="727"/>
      <c r="G257" s="24"/>
    </row>
    <row r="258" spans="1:7" ht="13.5" thickBot="1" x14ac:dyDescent="0.25">
      <c r="A258" s="1527"/>
      <c r="B258" s="863" t="s">
        <v>104</v>
      </c>
      <c r="C258" s="743"/>
      <c r="D258" s="743"/>
      <c r="E258" s="1003"/>
      <c r="F258" s="1005"/>
      <c r="G258" s="24"/>
    </row>
    <row r="259" spans="1:7" ht="13.5" thickBot="1" x14ac:dyDescent="0.25">
      <c r="A259" s="1527"/>
      <c r="B259" s="858" t="s">
        <v>14</v>
      </c>
      <c r="C259" s="749">
        <f>SUM(C249:C258)</f>
        <v>762452</v>
      </c>
      <c r="D259" s="749">
        <f>SUM(D249:D258)</f>
        <v>778406</v>
      </c>
      <c r="E259" s="1004">
        <f>SUM(E249:E258)</f>
        <v>870705</v>
      </c>
      <c r="F259" s="1006">
        <f>E259/D259*100</f>
        <v>111.85743686456682</v>
      </c>
      <c r="G259" s="24"/>
    </row>
    <row r="260" spans="1:7" ht="13.5" thickBot="1" x14ac:dyDescent="0.25">
      <c r="A260" s="870" t="s">
        <v>72</v>
      </c>
      <c r="B260" s="1360" t="s">
        <v>24</v>
      </c>
      <c r="C260" s="1361" t="s">
        <v>156</v>
      </c>
      <c r="D260" s="1361" t="s">
        <v>148</v>
      </c>
      <c r="E260" s="1361" t="s">
        <v>149</v>
      </c>
      <c r="F260" s="1362" t="s">
        <v>150</v>
      </c>
      <c r="G260" s="24"/>
    </row>
    <row r="261" spans="1:7" ht="13.15" customHeight="1" x14ac:dyDescent="0.2">
      <c r="A261" s="1526" t="s">
        <v>157</v>
      </c>
      <c r="B261" s="860" t="s">
        <v>88</v>
      </c>
      <c r="C261" s="853"/>
      <c r="D261" s="853"/>
      <c r="E261" s="853"/>
      <c r="F261" s="861"/>
      <c r="G261" s="24"/>
    </row>
    <row r="262" spans="1:7" ht="25.5" x14ac:dyDescent="0.2">
      <c r="A262" s="1527"/>
      <c r="B262" s="862" t="s">
        <v>101</v>
      </c>
      <c r="C262" s="727"/>
      <c r="D262" s="727"/>
      <c r="E262" s="727"/>
      <c r="F262" s="854"/>
      <c r="G262" s="24"/>
    </row>
    <row r="263" spans="1:7" x14ac:dyDescent="0.2">
      <c r="A263" s="1527"/>
      <c r="B263" s="862" t="s">
        <v>90</v>
      </c>
      <c r="C263" s="727"/>
      <c r="D263" s="727"/>
      <c r="E263" s="727"/>
      <c r="F263" s="854"/>
      <c r="G263" s="24"/>
    </row>
    <row r="264" spans="1:7" x14ac:dyDescent="0.2">
      <c r="A264" s="1527"/>
      <c r="B264" s="862" t="s">
        <v>102</v>
      </c>
      <c r="C264" s="727"/>
      <c r="D264" s="727"/>
      <c r="E264" s="727"/>
      <c r="F264" s="854"/>
      <c r="G264" s="24"/>
    </row>
    <row r="265" spans="1:7" ht="25.5" x14ac:dyDescent="0.2">
      <c r="A265" s="1527"/>
      <c r="B265" s="862" t="s">
        <v>97</v>
      </c>
      <c r="C265" s="727">
        <v>672388</v>
      </c>
      <c r="D265" s="727">
        <v>310275</v>
      </c>
      <c r="E265" s="727">
        <v>310275</v>
      </c>
      <c r="F265" s="867">
        <f>E265/D265*100</f>
        <v>100</v>
      </c>
      <c r="G265" s="24"/>
    </row>
    <row r="266" spans="1:7" x14ac:dyDescent="0.2">
      <c r="A266" s="1527"/>
      <c r="B266" s="862" t="s">
        <v>103</v>
      </c>
      <c r="C266" s="727"/>
      <c r="D266" s="727"/>
      <c r="E266" s="727"/>
      <c r="F266" s="854"/>
      <c r="G266" s="24"/>
    </row>
    <row r="267" spans="1:7" x14ac:dyDescent="0.2">
      <c r="A267" s="1527"/>
      <c r="B267" s="862" t="s">
        <v>92</v>
      </c>
      <c r="C267" s="727"/>
      <c r="D267" s="727"/>
      <c r="E267" s="727"/>
      <c r="F267" s="854"/>
      <c r="G267" s="24"/>
    </row>
    <row r="268" spans="1:7" x14ac:dyDescent="0.2">
      <c r="A268" s="1527"/>
      <c r="B268" s="862" t="s">
        <v>93</v>
      </c>
      <c r="C268" s="741"/>
      <c r="D268" s="741"/>
      <c r="E268" s="741"/>
      <c r="F268" s="854"/>
      <c r="G268" s="24"/>
    </row>
    <row r="269" spans="1:7" x14ac:dyDescent="0.2">
      <c r="A269" s="1527"/>
      <c r="B269" s="862" t="s">
        <v>94</v>
      </c>
      <c r="C269" s="741"/>
      <c r="D269" s="741"/>
      <c r="E269" s="741"/>
      <c r="F269" s="854"/>
      <c r="G269" s="24"/>
    </row>
    <row r="270" spans="1:7" ht="13.5" thickBot="1" x14ac:dyDescent="0.25">
      <c r="A270" s="1527"/>
      <c r="B270" s="1131" t="s">
        <v>104</v>
      </c>
      <c r="C270" s="1351"/>
      <c r="D270" s="1351"/>
      <c r="E270" s="1351"/>
      <c r="F270" s="1357"/>
      <c r="G270" s="24"/>
    </row>
    <row r="271" spans="1:7" ht="13.5" thickBot="1" x14ac:dyDescent="0.25">
      <c r="A271" s="1527"/>
      <c r="B271" s="1348" t="s">
        <v>14</v>
      </c>
      <c r="C271" s="1349">
        <f>SUM(C261:C270)</f>
        <v>672388</v>
      </c>
      <c r="D271" s="1349">
        <f>SUM(D261:D270)</f>
        <v>310275</v>
      </c>
      <c r="E271" s="1349">
        <f>SUM(E261:E270)</f>
        <v>310275</v>
      </c>
      <c r="F271" s="1350">
        <f>E271/D271*100</f>
        <v>100</v>
      </c>
      <c r="G271" s="24"/>
    </row>
    <row r="272" spans="1:7" x14ac:dyDescent="0.2">
      <c r="A272" s="1526" t="s">
        <v>143</v>
      </c>
      <c r="B272" s="860" t="s">
        <v>88</v>
      </c>
      <c r="C272" s="853"/>
      <c r="D272" s="853"/>
      <c r="E272" s="853"/>
      <c r="F272" s="866"/>
      <c r="G272" s="24"/>
    </row>
    <row r="273" spans="1:7" ht="25.5" x14ac:dyDescent="0.2">
      <c r="A273" s="1527"/>
      <c r="B273" s="862" t="s">
        <v>101</v>
      </c>
      <c r="C273" s="727"/>
      <c r="D273" s="727"/>
      <c r="E273" s="727"/>
      <c r="F273" s="867"/>
      <c r="G273" s="24"/>
    </row>
    <row r="274" spans="1:7" x14ac:dyDescent="0.2">
      <c r="A274" s="1527"/>
      <c r="B274" s="862" t="s">
        <v>90</v>
      </c>
      <c r="C274" s="727"/>
      <c r="D274" s="727"/>
      <c r="E274" s="727"/>
      <c r="F274" s="867"/>
      <c r="G274" s="24"/>
    </row>
    <row r="275" spans="1:7" x14ac:dyDescent="0.2">
      <c r="A275" s="1527"/>
      <c r="B275" s="862" t="s">
        <v>102</v>
      </c>
      <c r="C275" s="727"/>
      <c r="D275" s="727"/>
      <c r="E275" s="727"/>
      <c r="F275" s="867"/>
      <c r="G275" s="24"/>
    </row>
    <row r="276" spans="1:7" ht="25.5" x14ac:dyDescent="0.2">
      <c r="A276" s="1527"/>
      <c r="B276" s="862" t="s">
        <v>97</v>
      </c>
      <c r="C276" s="727">
        <v>6087000</v>
      </c>
      <c r="D276" s="727">
        <v>10520657</v>
      </c>
      <c r="E276" s="727">
        <v>11947667</v>
      </c>
      <c r="F276" s="867">
        <f>E276/D276*100</f>
        <v>113.56388674205422</v>
      </c>
      <c r="G276" s="24"/>
    </row>
    <row r="277" spans="1:7" x14ac:dyDescent="0.2">
      <c r="A277" s="1527"/>
      <c r="B277" s="862" t="s">
        <v>103</v>
      </c>
      <c r="C277" s="727"/>
      <c r="D277" s="727"/>
      <c r="E277" s="727"/>
      <c r="F277" s="867"/>
      <c r="G277" s="24"/>
    </row>
    <row r="278" spans="1:7" x14ac:dyDescent="0.2">
      <c r="A278" s="1527"/>
      <c r="B278" s="862" t="s">
        <v>92</v>
      </c>
      <c r="C278" s="727"/>
      <c r="D278" s="727"/>
      <c r="E278" s="727"/>
      <c r="F278" s="867"/>
      <c r="G278" s="24"/>
    </row>
    <row r="279" spans="1:7" x14ac:dyDescent="0.2">
      <c r="A279" s="1527"/>
      <c r="B279" s="862" t="s">
        <v>93</v>
      </c>
      <c r="C279" s="741"/>
      <c r="D279" s="741"/>
      <c r="E279" s="741"/>
      <c r="F279" s="867"/>
      <c r="G279" s="24"/>
    </row>
    <row r="280" spans="1:7" x14ac:dyDescent="0.2">
      <c r="A280" s="1527"/>
      <c r="B280" s="862" t="s">
        <v>94</v>
      </c>
      <c r="C280" s="741"/>
      <c r="D280" s="741"/>
      <c r="E280" s="741"/>
      <c r="F280" s="867"/>
      <c r="G280" s="24"/>
    </row>
    <row r="281" spans="1:7" ht="13.5" thickBot="1" x14ac:dyDescent="0.25">
      <c r="A281" s="1527"/>
      <c r="B281" s="863" t="s">
        <v>104</v>
      </c>
      <c r="C281" s="743"/>
      <c r="D281" s="743"/>
      <c r="E281" s="743"/>
      <c r="F281" s="868"/>
      <c r="G281" s="24"/>
    </row>
    <row r="282" spans="1:7" ht="13.5" thickBot="1" x14ac:dyDescent="0.25">
      <c r="A282" s="1527"/>
      <c r="B282" s="1140" t="s">
        <v>14</v>
      </c>
      <c r="C282" s="1134">
        <f>SUM(C272:C281)</f>
        <v>6087000</v>
      </c>
      <c r="D282" s="1134">
        <f>SUM(D272:D281)</f>
        <v>10520657</v>
      </c>
      <c r="E282" s="1134">
        <f>SUM(E272:E281)</f>
        <v>11947667</v>
      </c>
      <c r="F282" s="1000">
        <f>E282/D282*100</f>
        <v>113.56388674205422</v>
      </c>
      <c r="G282" s="24"/>
    </row>
    <row r="283" spans="1:7" x14ac:dyDescent="0.2">
      <c r="A283" s="1526" t="s">
        <v>576</v>
      </c>
      <c r="B283" s="860" t="s">
        <v>88</v>
      </c>
      <c r="C283" s="853"/>
      <c r="D283" s="853"/>
      <c r="E283" s="853"/>
      <c r="F283" s="866"/>
      <c r="G283" s="24"/>
    </row>
    <row r="284" spans="1:7" ht="25.5" x14ac:dyDescent="0.2">
      <c r="A284" s="1527"/>
      <c r="B284" s="862" t="s">
        <v>101</v>
      </c>
      <c r="C284" s="727"/>
      <c r="D284" s="727"/>
      <c r="E284" s="727"/>
      <c r="F284" s="867"/>
      <c r="G284" s="24"/>
    </row>
    <row r="285" spans="1:7" x14ac:dyDescent="0.2">
      <c r="A285" s="1527"/>
      <c r="B285" s="862" t="s">
        <v>90</v>
      </c>
      <c r="C285" s="727"/>
      <c r="D285" s="727">
        <v>300153</v>
      </c>
      <c r="E285" s="727">
        <v>300153</v>
      </c>
      <c r="F285" s="867">
        <f t="shared" ref="F285" si="7">E285/D285*100</f>
        <v>100</v>
      </c>
      <c r="G285" s="24"/>
    </row>
    <row r="286" spans="1:7" x14ac:dyDescent="0.2">
      <c r="A286" s="1527"/>
      <c r="B286" s="862" t="s">
        <v>102</v>
      </c>
      <c r="C286" s="727"/>
      <c r="D286" s="727"/>
      <c r="E286" s="727"/>
      <c r="F286" s="867"/>
      <c r="G286" s="24"/>
    </row>
    <row r="287" spans="1:7" ht="25.5" x14ac:dyDescent="0.2">
      <c r="A287" s="1527"/>
      <c r="B287" s="862" t="s">
        <v>97</v>
      </c>
      <c r="C287" s="727"/>
      <c r="D287" s="727"/>
      <c r="E287" s="727"/>
      <c r="F287" s="867"/>
      <c r="G287" s="24"/>
    </row>
    <row r="288" spans="1:7" x14ac:dyDescent="0.2">
      <c r="A288" s="1527"/>
      <c r="B288" s="862" t="s">
        <v>103</v>
      </c>
      <c r="C288" s="727"/>
      <c r="D288" s="727"/>
      <c r="E288" s="727"/>
      <c r="F288" s="867"/>
      <c r="G288" s="24"/>
    </row>
    <row r="289" spans="1:7" x14ac:dyDescent="0.2">
      <c r="A289" s="1527"/>
      <c r="B289" s="862" t="s">
        <v>92</v>
      </c>
      <c r="C289" s="727"/>
      <c r="D289" s="727">
        <v>149847</v>
      </c>
      <c r="E289" s="727">
        <v>149847</v>
      </c>
      <c r="F289" s="867">
        <f t="shared" ref="F289" si="8">E289/D289*100</f>
        <v>100</v>
      </c>
      <c r="G289" s="24"/>
    </row>
    <row r="290" spans="1:7" x14ac:dyDescent="0.2">
      <c r="A290" s="1527"/>
      <c r="B290" s="862" t="s">
        <v>93</v>
      </c>
      <c r="C290" s="741"/>
      <c r="D290" s="741"/>
      <c r="E290" s="741"/>
      <c r="F290" s="867"/>
      <c r="G290" s="24"/>
    </row>
    <row r="291" spans="1:7" x14ac:dyDescent="0.2">
      <c r="A291" s="1527"/>
      <c r="B291" s="862" t="s">
        <v>94</v>
      </c>
      <c r="C291" s="741"/>
      <c r="D291" s="741"/>
      <c r="E291" s="741"/>
      <c r="F291" s="867"/>
      <c r="G291" s="24"/>
    </row>
    <row r="292" spans="1:7" ht="13.5" thickBot="1" x14ac:dyDescent="0.25">
      <c r="A292" s="1527"/>
      <c r="B292" s="863" t="s">
        <v>104</v>
      </c>
      <c r="C292" s="743"/>
      <c r="D292" s="743"/>
      <c r="E292" s="743"/>
      <c r="F292" s="868"/>
      <c r="G292" s="24"/>
    </row>
    <row r="293" spans="1:7" ht="13.5" thickBot="1" x14ac:dyDescent="0.25">
      <c r="A293" s="1527"/>
      <c r="B293" s="1140" t="s">
        <v>14</v>
      </c>
      <c r="C293" s="1134">
        <f>SUM(C283:C292)</f>
        <v>0</v>
      </c>
      <c r="D293" s="1134">
        <f>SUM(D283:D292)</f>
        <v>450000</v>
      </c>
      <c r="E293" s="1134">
        <f>SUM(E283:E292)</f>
        <v>450000</v>
      </c>
      <c r="F293" s="1000">
        <f>E293/D293*100</f>
        <v>100</v>
      </c>
      <c r="G293" s="24"/>
    </row>
    <row r="294" spans="1:7" x14ac:dyDescent="0.2">
      <c r="A294" s="1526" t="s">
        <v>472</v>
      </c>
      <c r="B294" s="860" t="s">
        <v>88</v>
      </c>
      <c r="C294" s="853"/>
      <c r="D294" s="853"/>
      <c r="E294" s="853"/>
      <c r="F294" s="866"/>
      <c r="G294" s="24"/>
    </row>
    <row r="295" spans="1:7" ht="25.5" x14ac:dyDescent="0.2">
      <c r="A295" s="1527"/>
      <c r="B295" s="862" t="s">
        <v>101</v>
      </c>
      <c r="C295" s="727"/>
      <c r="D295" s="727"/>
      <c r="E295" s="727"/>
      <c r="F295" s="867"/>
      <c r="G295" s="24"/>
    </row>
    <row r="296" spans="1:7" x14ac:dyDescent="0.2">
      <c r="A296" s="1527"/>
      <c r="B296" s="862" t="s">
        <v>90</v>
      </c>
      <c r="C296" s="727">
        <v>2000000</v>
      </c>
      <c r="D296" s="727"/>
      <c r="E296" s="727"/>
      <c r="F296" s="867"/>
      <c r="G296" s="24"/>
    </row>
    <row r="297" spans="1:7" x14ac:dyDescent="0.2">
      <c r="A297" s="1527"/>
      <c r="B297" s="862" t="s">
        <v>102</v>
      </c>
      <c r="C297" s="727"/>
      <c r="D297" s="727"/>
      <c r="E297" s="727"/>
      <c r="F297" s="867"/>
      <c r="G297" s="24"/>
    </row>
    <row r="298" spans="1:7" ht="25.5" x14ac:dyDescent="0.2">
      <c r="A298" s="1527"/>
      <c r="B298" s="862" t="s">
        <v>97</v>
      </c>
      <c r="C298" s="727"/>
      <c r="D298" s="727"/>
      <c r="E298" s="727"/>
      <c r="F298" s="867"/>
      <c r="G298" s="24"/>
    </row>
    <row r="299" spans="1:7" x14ac:dyDescent="0.2">
      <c r="A299" s="1527"/>
      <c r="B299" s="862" t="s">
        <v>103</v>
      </c>
      <c r="C299" s="727"/>
      <c r="D299" s="727"/>
      <c r="E299" s="727"/>
      <c r="F299" s="867"/>
      <c r="G299" s="24"/>
    </row>
    <row r="300" spans="1:7" x14ac:dyDescent="0.2">
      <c r="A300" s="1527"/>
      <c r="B300" s="862" t="s">
        <v>92</v>
      </c>
      <c r="C300" s="727"/>
      <c r="D300" s="727"/>
      <c r="E300" s="727"/>
      <c r="F300" s="867"/>
      <c r="G300" s="24"/>
    </row>
    <row r="301" spans="1:7" x14ac:dyDescent="0.2">
      <c r="A301" s="1527"/>
      <c r="B301" s="862" t="s">
        <v>93</v>
      </c>
      <c r="C301" s="741"/>
      <c r="D301" s="741"/>
      <c r="E301" s="741"/>
      <c r="F301" s="867"/>
      <c r="G301" s="24"/>
    </row>
    <row r="302" spans="1:7" x14ac:dyDescent="0.2">
      <c r="A302" s="1527"/>
      <c r="B302" s="862" t="s">
        <v>94</v>
      </c>
      <c r="C302" s="741"/>
      <c r="D302" s="741"/>
      <c r="E302" s="741"/>
      <c r="F302" s="867"/>
      <c r="G302" s="24"/>
    </row>
    <row r="303" spans="1:7" ht="13.5" thickBot="1" x14ac:dyDescent="0.25">
      <c r="A303" s="1527"/>
      <c r="B303" s="863" t="s">
        <v>104</v>
      </c>
      <c r="C303" s="743"/>
      <c r="D303" s="743"/>
      <c r="E303" s="743"/>
      <c r="F303" s="868"/>
      <c r="G303" s="24"/>
    </row>
    <row r="304" spans="1:7" ht="18.75" customHeight="1" thickBot="1" x14ac:dyDescent="0.25">
      <c r="A304" s="1527"/>
      <c r="B304" s="858" t="s">
        <v>14</v>
      </c>
      <c r="C304" s="749">
        <f>SUM(C294:C303)</f>
        <v>2000000</v>
      </c>
      <c r="D304" s="749">
        <f>SUM(D294:D303)</f>
        <v>0</v>
      </c>
      <c r="E304" s="749">
        <f>SUM(E294:E303)</f>
        <v>0</v>
      </c>
      <c r="F304" s="859"/>
      <c r="G304" s="24"/>
    </row>
    <row r="305" spans="1:7" x14ac:dyDescent="0.2">
      <c r="A305" s="1526" t="s">
        <v>577</v>
      </c>
      <c r="B305" s="1148" t="s">
        <v>88</v>
      </c>
      <c r="C305" s="1141"/>
      <c r="D305" s="1141">
        <v>15000</v>
      </c>
      <c r="E305" s="1141">
        <v>14169</v>
      </c>
      <c r="F305" s="1142">
        <f>E305/D305%</f>
        <v>94.46</v>
      </c>
      <c r="G305" s="24"/>
    </row>
    <row r="306" spans="1:7" ht="25.5" x14ac:dyDescent="0.2">
      <c r="A306" s="1527"/>
      <c r="B306" s="862" t="s">
        <v>101</v>
      </c>
      <c r="C306" s="727"/>
      <c r="D306" s="727"/>
      <c r="E306" s="727"/>
      <c r="F306" s="854"/>
      <c r="G306" s="24"/>
    </row>
    <row r="307" spans="1:7" x14ac:dyDescent="0.2">
      <c r="A307" s="1527"/>
      <c r="B307" s="862" t="s">
        <v>90</v>
      </c>
      <c r="C307" s="727">
        <v>6954360</v>
      </c>
      <c r="D307" s="727">
        <v>3419616</v>
      </c>
      <c r="E307" s="727">
        <v>2548911</v>
      </c>
      <c r="F307" s="867">
        <f t="shared" ref="F307:F309" si="9">E307/D307*100</f>
        <v>74.537930574661019</v>
      </c>
      <c r="G307" s="24"/>
    </row>
    <row r="308" spans="1:7" x14ac:dyDescent="0.2">
      <c r="A308" s="1527"/>
      <c r="B308" s="862" t="s">
        <v>102</v>
      </c>
      <c r="C308" s="727"/>
      <c r="D308" s="727"/>
      <c r="E308" s="727"/>
      <c r="F308" s="867"/>
      <c r="G308" s="24"/>
    </row>
    <row r="309" spans="1:7" ht="25.5" x14ac:dyDescent="0.2">
      <c r="A309" s="1527"/>
      <c r="B309" s="862" t="s">
        <v>97</v>
      </c>
      <c r="C309" s="727">
        <v>1043487</v>
      </c>
      <c r="D309" s="727">
        <v>2670809</v>
      </c>
      <c r="E309" s="727">
        <v>970809</v>
      </c>
      <c r="F309" s="867">
        <f t="shared" si="9"/>
        <v>36.348874067745015</v>
      </c>
      <c r="G309" s="24"/>
    </row>
    <row r="310" spans="1:7" x14ac:dyDescent="0.2">
      <c r="A310" s="1527"/>
      <c r="B310" s="862" t="s">
        <v>103</v>
      </c>
      <c r="C310" s="727"/>
      <c r="D310" s="727"/>
      <c r="E310" s="727"/>
      <c r="F310" s="867"/>
      <c r="G310" s="24"/>
    </row>
    <row r="311" spans="1:7" x14ac:dyDescent="0.2">
      <c r="A311" s="1527"/>
      <c r="B311" s="862" t="s">
        <v>92</v>
      </c>
      <c r="C311" s="727"/>
      <c r="D311" s="727"/>
      <c r="E311" s="727">
        <v>179896</v>
      </c>
      <c r="F311" s="867"/>
      <c r="G311" s="24"/>
    </row>
    <row r="312" spans="1:7" x14ac:dyDescent="0.2">
      <c r="A312" s="1527"/>
      <c r="B312" s="862" t="s">
        <v>93</v>
      </c>
      <c r="C312" s="741"/>
      <c r="D312" s="741"/>
      <c r="E312" s="741"/>
      <c r="F312" s="867"/>
      <c r="G312" s="24"/>
    </row>
    <row r="313" spans="1:7" x14ac:dyDescent="0.2">
      <c r="A313" s="1527"/>
      <c r="B313" s="862" t="s">
        <v>94</v>
      </c>
      <c r="C313" s="741"/>
      <c r="D313" s="741"/>
      <c r="E313" s="741"/>
      <c r="F313" s="867"/>
      <c r="G313" s="24"/>
    </row>
    <row r="314" spans="1:7" ht="13.5" thickBot="1" x14ac:dyDescent="0.25">
      <c r="A314" s="1527"/>
      <c r="B314" s="863" t="s">
        <v>104</v>
      </c>
      <c r="C314" s="743"/>
      <c r="D314" s="743"/>
      <c r="E314" s="743"/>
      <c r="F314" s="867"/>
      <c r="G314" s="24"/>
    </row>
    <row r="315" spans="1:7" ht="13.5" thickBot="1" x14ac:dyDescent="0.25">
      <c r="A315" s="1527"/>
      <c r="B315" s="858" t="s">
        <v>14</v>
      </c>
      <c r="C315" s="749">
        <f>SUM(C305:C314)</f>
        <v>7997847</v>
      </c>
      <c r="D315" s="749">
        <f>SUM(D305:D314)</f>
        <v>6105425</v>
      </c>
      <c r="E315" s="749">
        <f>SUM(E305:E314)</f>
        <v>3713785</v>
      </c>
      <c r="F315" s="859">
        <f>E315/D315*100</f>
        <v>60.827624612537214</v>
      </c>
      <c r="G315" s="24"/>
    </row>
    <row r="316" spans="1:7" x14ac:dyDescent="0.2">
      <c r="A316" s="1532" t="s">
        <v>473</v>
      </c>
      <c r="B316" s="1148" t="s">
        <v>88</v>
      </c>
      <c r="C316" s="1146"/>
      <c r="D316" s="1146"/>
      <c r="E316" s="1146"/>
      <c r="F316" s="1147"/>
      <c r="G316" s="24"/>
    </row>
    <row r="317" spans="1:7" ht="25.5" x14ac:dyDescent="0.2">
      <c r="A317" s="1533"/>
      <c r="B317" s="862" t="s">
        <v>101</v>
      </c>
      <c r="C317" s="1008"/>
      <c r="D317" s="1008"/>
      <c r="E317" s="1008"/>
      <c r="F317" s="1130"/>
      <c r="G317" s="24"/>
    </row>
    <row r="318" spans="1:7" x14ac:dyDescent="0.2">
      <c r="A318" s="1533"/>
      <c r="B318" s="862" t="s">
        <v>90</v>
      </c>
      <c r="C318" s="1008">
        <v>10361770</v>
      </c>
      <c r="D318" s="1008">
        <v>8459018</v>
      </c>
      <c r="E318" s="1008">
        <v>9265552</v>
      </c>
      <c r="F318" s="1009">
        <f>E318/D318*100</f>
        <v>109.53460555350514</v>
      </c>
      <c r="G318" s="24"/>
    </row>
    <row r="319" spans="1:7" x14ac:dyDescent="0.2">
      <c r="A319" s="1533"/>
      <c r="B319" s="862" t="s">
        <v>102</v>
      </c>
      <c r="C319" s="1008"/>
      <c r="D319" s="1008"/>
      <c r="E319" s="1008"/>
      <c r="F319" s="1130"/>
      <c r="G319" s="24"/>
    </row>
    <row r="320" spans="1:7" ht="25.5" x14ac:dyDescent="0.2">
      <c r="A320" s="1533"/>
      <c r="B320" s="862" t="s">
        <v>97</v>
      </c>
      <c r="C320" s="1008"/>
      <c r="D320" s="1008"/>
      <c r="E320" s="1008"/>
      <c r="F320" s="1130"/>
      <c r="G320" s="24"/>
    </row>
    <row r="321" spans="1:7" x14ac:dyDescent="0.2">
      <c r="A321" s="1533"/>
      <c r="B321" s="862" t="s">
        <v>103</v>
      </c>
      <c r="C321" s="1008"/>
      <c r="D321" s="1008"/>
      <c r="E321" s="1008"/>
      <c r="F321" s="1130"/>
      <c r="G321" s="24"/>
    </row>
    <row r="322" spans="1:7" x14ac:dyDescent="0.2">
      <c r="A322" s="1533"/>
      <c r="B322" s="862" t="s">
        <v>92</v>
      </c>
      <c r="C322" s="1008"/>
      <c r="D322" s="1008"/>
      <c r="E322" s="1008"/>
      <c r="F322" s="1130"/>
      <c r="G322" s="24"/>
    </row>
    <row r="323" spans="1:7" x14ac:dyDescent="0.2">
      <c r="A323" s="1533"/>
      <c r="B323" s="862" t="s">
        <v>93</v>
      </c>
      <c r="C323" s="1008"/>
      <c r="D323" s="1008"/>
      <c r="E323" s="1008"/>
      <c r="F323" s="1130"/>
      <c r="G323" s="24"/>
    </row>
    <row r="324" spans="1:7" x14ac:dyDescent="0.2">
      <c r="A324" s="1533"/>
      <c r="B324" s="862" t="s">
        <v>94</v>
      </c>
      <c r="C324" s="1008"/>
      <c r="D324" s="1008"/>
      <c r="E324" s="1008"/>
      <c r="F324" s="1130"/>
      <c r="G324" s="24"/>
    </row>
    <row r="325" spans="1:7" ht="13.5" thickBot="1" x14ac:dyDescent="0.25">
      <c r="A325" s="1533"/>
      <c r="B325" s="1131" t="s">
        <v>104</v>
      </c>
      <c r="C325" s="1132"/>
      <c r="D325" s="1132"/>
      <c r="E325" s="1132"/>
      <c r="F325" s="1133"/>
      <c r="G325" s="24"/>
    </row>
    <row r="326" spans="1:7" ht="13.5" thickBot="1" x14ac:dyDescent="0.25">
      <c r="A326" s="1534"/>
      <c r="B326" s="1007" t="s">
        <v>14</v>
      </c>
      <c r="C326" s="1010">
        <f>SUM(C316:C325)</f>
        <v>10361770</v>
      </c>
      <c r="D326" s="1010">
        <f t="shared" ref="D326:E326" si="10">SUM(D316:D325)</f>
        <v>8459018</v>
      </c>
      <c r="E326" s="1010">
        <f t="shared" si="10"/>
        <v>9265552</v>
      </c>
      <c r="F326" s="1011">
        <f>E326/D326*100</f>
        <v>109.53460555350514</v>
      </c>
      <c r="G326" s="24"/>
    </row>
    <row r="327" spans="1:7" x14ac:dyDescent="0.2">
      <c r="A327" s="1529" t="s">
        <v>167</v>
      </c>
      <c r="B327" s="860" t="s">
        <v>88</v>
      </c>
      <c r="C327" s="853"/>
      <c r="D327" s="853"/>
      <c r="E327" s="853"/>
      <c r="F327" s="861"/>
      <c r="G327" s="24"/>
    </row>
    <row r="328" spans="1:7" ht="25.5" x14ac:dyDescent="0.2">
      <c r="A328" s="1530"/>
      <c r="B328" s="862" t="s">
        <v>101</v>
      </c>
      <c r="C328" s="727"/>
      <c r="D328" s="727"/>
      <c r="E328" s="727"/>
      <c r="F328" s="854"/>
      <c r="G328" s="24"/>
    </row>
    <row r="329" spans="1:7" x14ac:dyDescent="0.2">
      <c r="A329" s="1530"/>
      <c r="B329" s="862" t="s">
        <v>90</v>
      </c>
      <c r="C329" s="727"/>
      <c r="D329" s="727"/>
      <c r="E329" s="727"/>
      <c r="F329" s="854"/>
      <c r="G329" s="24"/>
    </row>
    <row r="330" spans="1:7" x14ac:dyDescent="0.2">
      <c r="A330" s="1530"/>
      <c r="B330" s="862" t="s">
        <v>102</v>
      </c>
      <c r="C330" s="727"/>
      <c r="D330" s="727">
        <v>8053000</v>
      </c>
      <c r="E330" s="727">
        <v>8001000</v>
      </c>
      <c r="F330" s="867">
        <f>E330/D330*100</f>
        <v>99.354277908853845</v>
      </c>
      <c r="G330" s="24"/>
    </row>
    <row r="331" spans="1:7" ht="25.5" x14ac:dyDescent="0.2">
      <c r="A331" s="1530"/>
      <c r="B331" s="862" t="s">
        <v>97</v>
      </c>
      <c r="C331" s="727"/>
      <c r="D331" s="727"/>
      <c r="E331" s="727"/>
      <c r="F331" s="854"/>
      <c r="G331" s="24"/>
    </row>
    <row r="332" spans="1:7" x14ac:dyDescent="0.2">
      <c r="A332" s="1530"/>
      <c r="B332" s="862" t="s">
        <v>103</v>
      </c>
      <c r="C332" s="727"/>
      <c r="D332" s="727"/>
      <c r="E332" s="727"/>
      <c r="F332" s="854"/>
      <c r="G332" s="24"/>
    </row>
    <row r="333" spans="1:7" x14ac:dyDescent="0.2">
      <c r="A333" s="1530"/>
      <c r="B333" s="862" t="s">
        <v>92</v>
      </c>
      <c r="C333" s="727"/>
      <c r="D333" s="727"/>
      <c r="E333" s="727"/>
      <c r="F333" s="854"/>
      <c r="G333" s="24"/>
    </row>
    <row r="334" spans="1:7" x14ac:dyDescent="0.2">
      <c r="A334" s="1530"/>
      <c r="B334" s="862" t="s">
        <v>93</v>
      </c>
      <c r="C334" s="741"/>
      <c r="D334" s="741"/>
      <c r="E334" s="741"/>
      <c r="F334" s="854"/>
      <c r="G334" s="24"/>
    </row>
    <row r="335" spans="1:7" x14ac:dyDescent="0.2">
      <c r="A335" s="1530"/>
      <c r="B335" s="862" t="s">
        <v>94</v>
      </c>
      <c r="C335" s="741"/>
      <c r="D335" s="741"/>
      <c r="E335" s="741"/>
      <c r="F335" s="854"/>
      <c r="G335" s="24"/>
    </row>
    <row r="336" spans="1:7" ht="13.5" thickBot="1" x14ac:dyDescent="0.25">
      <c r="A336" s="1530"/>
      <c r="B336" s="863" t="s">
        <v>104</v>
      </c>
      <c r="C336" s="743"/>
      <c r="D336" s="743"/>
      <c r="E336" s="743"/>
      <c r="F336" s="864"/>
      <c r="G336" s="24"/>
    </row>
    <row r="337" spans="1:7" ht="13.5" thickBot="1" x14ac:dyDescent="0.25">
      <c r="A337" s="1531"/>
      <c r="B337" s="858" t="s">
        <v>14</v>
      </c>
      <c r="C337" s="749">
        <f>SUM(C327:C336)</f>
        <v>0</v>
      </c>
      <c r="D337" s="749">
        <f>SUM(D327:D336)</f>
        <v>8053000</v>
      </c>
      <c r="E337" s="749">
        <f>SUM(E327:E336)</f>
        <v>8001000</v>
      </c>
      <c r="F337" s="859">
        <f>E337/D337*100</f>
        <v>99.354277908853845</v>
      </c>
      <c r="G337" s="24"/>
    </row>
    <row r="338" spans="1:7" x14ac:dyDescent="0.2">
      <c r="A338" s="1526" t="s">
        <v>436</v>
      </c>
      <c r="B338" s="860" t="s">
        <v>88</v>
      </c>
      <c r="C338" s="853"/>
      <c r="D338" s="853"/>
      <c r="E338" s="853"/>
      <c r="F338" s="866"/>
      <c r="G338" s="24"/>
    </row>
    <row r="339" spans="1:7" ht="25.5" x14ac:dyDescent="0.2">
      <c r="A339" s="1527"/>
      <c r="B339" s="862" t="s">
        <v>101</v>
      </c>
      <c r="C339" s="727"/>
      <c r="D339" s="727"/>
      <c r="E339" s="727"/>
      <c r="F339" s="867"/>
      <c r="G339" s="24"/>
    </row>
    <row r="340" spans="1:7" x14ac:dyDescent="0.2">
      <c r="A340" s="1527"/>
      <c r="B340" s="862" t="s">
        <v>90</v>
      </c>
      <c r="C340" s="727"/>
      <c r="D340" s="727"/>
      <c r="E340" s="727"/>
      <c r="F340" s="867"/>
      <c r="G340" s="24"/>
    </row>
    <row r="341" spans="1:7" x14ac:dyDescent="0.2">
      <c r="A341" s="1527"/>
      <c r="B341" s="862" t="s">
        <v>102</v>
      </c>
      <c r="C341" s="727">
        <v>1950000</v>
      </c>
      <c r="D341" s="727">
        <v>1627180</v>
      </c>
      <c r="E341" s="727">
        <v>1627180</v>
      </c>
      <c r="F341" s="867">
        <f>E341/D341*100</f>
        <v>100</v>
      </c>
      <c r="G341" s="24"/>
    </row>
    <row r="342" spans="1:7" ht="25.5" x14ac:dyDescent="0.2">
      <c r="A342" s="1527"/>
      <c r="B342" s="862" t="s">
        <v>97</v>
      </c>
      <c r="C342" s="727"/>
      <c r="D342" s="727"/>
      <c r="E342" s="727"/>
      <c r="F342" s="867"/>
      <c r="G342" s="24"/>
    </row>
    <row r="343" spans="1:7" x14ac:dyDescent="0.2">
      <c r="A343" s="1527"/>
      <c r="B343" s="862" t="s">
        <v>103</v>
      </c>
      <c r="C343" s="727"/>
      <c r="D343" s="727"/>
      <c r="E343" s="727"/>
      <c r="F343" s="867"/>
      <c r="G343" s="24"/>
    </row>
    <row r="344" spans="1:7" x14ac:dyDescent="0.2">
      <c r="A344" s="1527"/>
      <c r="B344" s="862" t="s">
        <v>92</v>
      </c>
      <c r="C344" s="727"/>
      <c r="D344" s="727"/>
      <c r="E344" s="727"/>
      <c r="F344" s="867"/>
      <c r="G344" s="24"/>
    </row>
    <row r="345" spans="1:7" x14ac:dyDescent="0.2">
      <c r="A345" s="1527"/>
      <c r="B345" s="862" t="s">
        <v>93</v>
      </c>
      <c r="C345" s="741"/>
      <c r="D345" s="741"/>
      <c r="E345" s="741"/>
      <c r="F345" s="867"/>
      <c r="G345" s="24"/>
    </row>
    <row r="346" spans="1:7" x14ac:dyDescent="0.2">
      <c r="A346" s="1527"/>
      <c r="B346" s="862" t="s">
        <v>94</v>
      </c>
      <c r="C346" s="741"/>
      <c r="D346" s="741"/>
      <c r="E346" s="741"/>
      <c r="F346" s="867"/>
      <c r="G346" s="24"/>
    </row>
    <row r="347" spans="1:7" ht="13.5" thickBot="1" x14ac:dyDescent="0.25">
      <c r="A347" s="1527"/>
      <c r="B347" s="863" t="s">
        <v>104</v>
      </c>
      <c r="C347" s="743"/>
      <c r="D347" s="743"/>
      <c r="E347" s="743"/>
      <c r="F347" s="868"/>
      <c r="G347" s="24"/>
    </row>
    <row r="348" spans="1:7" ht="13.5" thickBot="1" x14ac:dyDescent="0.25">
      <c r="A348" s="1527"/>
      <c r="B348" s="858" t="s">
        <v>14</v>
      </c>
      <c r="C348" s="749">
        <f>SUM(C338:C347)</f>
        <v>1950000</v>
      </c>
      <c r="D348" s="749">
        <f>SUM(D338:D347)</f>
        <v>1627180</v>
      </c>
      <c r="E348" s="749">
        <f>SUM(E338:E347)</f>
        <v>1627180</v>
      </c>
      <c r="F348" s="859">
        <f>E348/D348*100</f>
        <v>100</v>
      </c>
      <c r="G348" s="24"/>
    </row>
    <row r="349" spans="1:7" x14ac:dyDescent="0.2">
      <c r="A349" s="1526" t="s">
        <v>437</v>
      </c>
      <c r="B349" s="860" t="s">
        <v>88</v>
      </c>
      <c r="C349" s="880"/>
      <c r="D349" s="880"/>
      <c r="E349" s="880"/>
      <c r="F349" s="866"/>
      <c r="G349" s="24"/>
    </row>
    <row r="350" spans="1:7" ht="25.5" x14ac:dyDescent="0.2">
      <c r="A350" s="1527"/>
      <c r="B350" s="862" t="s">
        <v>101</v>
      </c>
      <c r="C350" s="881"/>
      <c r="D350" s="881"/>
      <c r="E350" s="881"/>
      <c r="F350" s="867"/>
      <c r="G350" s="24"/>
    </row>
    <row r="351" spans="1:7" x14ac:dyDescent="0.2">
      <c r="A351" s="1527"/>
      <c r="B351" s="862" t="s">
        <v>90</v>
      </c>
      <c r="C351" s="881"/>
      <c r="D351" s="881"/>
      <c r="E351" s="881"/>
      <c r="F351" s="867"/>
      <c r="G351" s="24"/>
    </row>
    <row r="352" spans="1:7" x14ac:dyDescent="0.2">
      <c r="A352" s="1527"/>
      <c r="B352" s="862" t="s">
        <v>102</v>
      </c>
      <c r="C352" s="881"/>
      <c r="D352" s="881"/>
      <c r="E352" s="881"/>
      <c r="F352" s="867"/>
      <c r="G352" s="24"/>
    </row>
    <row r="353" spans="1:7" ht="25.5" x14ac:dyDescent="0.2">
      <c r="A353" s="1527"/>
      <c r="B353" s="862" t="s">
        <v>97</v>
      </c>
      <c r="C353" s="881">
        <v>5592209</v>
      </c>
      <c r="D353" s="881">
        <v>5210032</v>
      </c>
      <c r="E353" s="881">
        <v>5210632</v>
      </c>
      <c r="F353" s="867">
        <f>E353/D353*100</f>
        <v>100.01151624404609</v>
      </c>
      <c r="G353" s="24"/>
    </row>
    <row r="354" spans="1:7" x14ac:dyDescent="0.2">
      <c r="A354" s="1527"/>
      <c r="B354" s="862" t="s">
        <v>103</v>
      </c>
      <c r="C354" s="881"/>
      <c r="D354" s="881"/>
      <c r="E354" s="881"/>
      <c r="F354" s="867"/>
      <c r="G354" s="24"/>
    </row>
    <row r="355" spans="1:7" x14ac:dyDescent="0.2">
      <c r="A355" s="1527"/>
      <c r="B355" s="862" t="s">
        <v>92</v>
      </c>
      <c r="C355" s="881"/>
      <c r="D355" s="881"/>
      <c r="E355" s="881"/>
      <c r="F355" s="867"/>
      <c r="G355" s="24"/>
    </row>
    <row r="356" spans="1:7" x14ac:dyDescent="0.2">
      <c r="A356" s="1527"/>
      <c r="B356" s="862" t="s">
        <v>93</v>
      </c>
      <c r="C356" s="845"/>
      <c r="D356" s="881"/>
      <c r="E356" s="881"/>
      <c r="F356" s="867"/>
      <c r="G356" s="24"/>
    </row>
    <row r="357" spans="1:7" x14ac:dyDescent="0.2">
      <c r="A357" s="1527"/>
      <c r="B357" s="862" t="s">
        <v>94</v>
      </c>
      <c r="C357" s="845"/>
      <c r="D357" s="881"/>
      <c r="E357" s="845"/>
      <c r="F357" s="867"/>
      <c r="G357" s="24"/>
    </row>
    <row r="358" spans="1:7" ht="13.5" thickBot="1" x14ac:dyDescent="0.25">
      <c r="A358" s="1527"/>
      <c r="B358" s="863" t="s">
        <v>104</v>
      </c>
      <c r="C358" s="846"/>
      <c r="D358" s="846"/>
      <c r="E358" s="846"/>
      <c r="F358" s="868"/>
      <c r="G358" s="24"/>
    </row>
    <row r="359" spans="1:7" ht="13.5" thickBot="1" x14ac:dyDescent="0.25">
      <c r="A359" s="1527"/>
      <c r="B359" s="858" t="s">
        <v>14</v>
      </c>
      <c r="C359" s="749">
        <f>SUM(C349:C358)</f>
        <v>5592209</v>
      </c>
      <c r="D359" s="749">
        <f>SUM(D349:D358)</f>
        <v>5210032</v>
      </c>
      <c r="E359" s="749">
        <f>SUM(E349:E358)</f>
        <v>5210632</v>
      </c>
      <c r="F359" s="859">
        <f>E359/D359*100</f>
        <v>100.01151624404609</v>
      </c>
      <c r="G359" s="24"/>
    </row>
    <row r="360" spans="1:7" ht="13.5" thickBot="1" x14ac:dyDescent="0.25">
      <c r="A360" s="870" t="s">
        <v>72</v>
      </c>
      <c r="B360" s="871" t="s">
        <v>24</v>
      </c>
      <c r="C360" s="872" t="s">
        <v>156</v>
      </c>
      <c r="D360" s="872" t="s">
        <v>148</v>
      </c>
      <c r="E360" s="872" t="s">
        <v>149</v>
      </c>
      <c r="F360" s="873" t="s">
        <v>150</v>
      </c>
      <c r="G360" s="24"/>
    </row>
    <row r="361" spans="1:7" x14ac:dyDescent="0.2">
      <c r="A361" s="1526" t="s">
        <v>76</v>
      </c>
      <c r="B361" s="860" t="s">
        <v>88</v>
      </c>
      <c r="C361" s="853">
        <v>2942900</v>
      </c>
      <c r="D361" s="853">
        <v>3046900</v>
      </c>
      <c r="E361" s="853">
        <v>3046900</v>
      </c>
      <c r="F361" s="867">
        <f>E361/D361*100</f>
        <v>100</v>
      </c>
      <c r="G361" s="24"/>
    </row>
    <row r="362" spans="1:7" ht="25.5" x14ac:dyDescent="0.2">
      <c r="A362" s="1527"/>
      <c r="B362" s="862" t="s">
        <v>101</v>
      </c>
      <c r="C362" s="727">
        <v>540000</v>
      </c>
      <c r="D362" s="727">
        <v>563984</v>
      </c>
      <c r="E362" s="727">
        <v>563984</v>
      </c>
      <c r="F362" s="867">
        <f>E362/D362*100</f>
        <v>100</v>
      </c>
      <c r="G362" s="24"/>
    </row>
    <row r="363" spans="1:7" x14ac:dyDescent="0.2">
      <c r="A363" s="1527"/>
      <c r="B363" s="862" t="s">
        <v>90</v>
      </c>
      <c r="C363" s="727">
        <v>1073000</v>
      </c>
      <c r="D363" s="727">
        <v>776370</v>
      </c>
      <c r="E363" s="727">
        <v>776370</v>
      </c>
      <c r="F363" s="867">
        <f>E363/D363*100</f>
        <v>100</v>
      </c>
      <c r="G363" s="24"/>
    </row>
    <row r="364" spans="1:7" x14ac:dyDescent="0.2">
      <c r="A364" s="1527"/>
      <c r="B364" s="862" t="s">
        <v>102</v>
      </c>
      <c r="C364" s="727"/>
      <c r="D364" s="727"/>
      <c r="E364" s="727"/>
      <c r="F364" s="867"/>
      <c r="G364" s="24"/>
    </row>
    <row r="365" spans="1:7" ht="25.5" x14ac:dyDescent="0.2">
      <c r="A365" s="1527"/>
      <c r="B365" s="862" t="s">
        <v>97</v>
      </c>
      <c r="C365" s="727"/>
      <c r="D365" s="727"/>
      <c r="E365" s="727"/>
      <c r="F365" s="867"/>
      <c r="G365" s="24"/>
    </row>
    <row r="366" spans="1:7" x14ac:dyDescent="0.2">
      <c r="A366" s="1527"/>
      <c r="B366" s="862" t="s">
        <v>103</v>
      </c>
      <c r="C366" s="727"/>
      <c r="D366" s="727"/>
      <c r="E366" s="727"/>
      <c r="F366" s="867"/>
      <c r="G366" s="24"/>
    </row>
    <row r="367" spans="1:7" x14ac:dyDescent="0.2">
      <c r="A367" s="1527"/>
      <c r="B367" s="862" t="s">
        <v>92</v>
      </c>
      <c r="C367" s="727"/>
      <c r="D367" s="727"/>
      <c r="E367" s="727"/>
      <c r="F367" s="867"/>
      <c r="G367" s="24"/>
    </row>
    <row r="368" spans="1:7" x14ac:dyDescent="0.2">
      <c r="A368" s="1527"/>
      <c r="B368" s="862" t="s">
        <v>93</v>
      </c>
      <c r="C368" s="741"/>
      <c r="D368" s="741"/>
      <c r="E368" s="741"/>
      <c r="F368" s="867"/>
      <c r="G368" s="24"/>
    </row>
    <row r="369" spans="1:7" x14ac:dyDescent="0.2">
      <c r="A369" s="1527"/>
      <c r="B369" s="862" t="s">
        <v>94</v>
      </c>
      <c r="C369" s="741"/>
      <c r="D369" s="741"/>
      <c r="E369" s="741"/>
      <c r="F369" s="867"/>
      <c r="G369" s="24"/>
    </row>
    <row r="370" spans="1:7" ht="13.5" thickBot="1" x14ac:dyDescent="0.25">
      <c r="A370" s="1527"/>
      <c r="B370" s="863" t="s">
        <v>104</v>
      </c>
      <c r="C370" s="743"/>
      <c r="D370" s="743"/>
      <c r="E370" s="743"/>
      <c r="F370" s="868"/>
      <c r="G370" s="24"/>
    </row>
    <row r="371" spans="1:7" ht="13.5" thickBot="1" x14ac:dyDescent="0.25">
      <c r="A371" s="1527"/>
      <c r="B371" s="858" t="s">
        <v>14</v>
      </c>
      <c r="C371" s="749">
        <f>SUM(C361:C370)</f>
        <v>4555900</v>
      </c>
      <c r="D371" s="749">
        <f>SUM(D361:D370)</f>
        <v>4387254</v>
      </c>
      <c r="E371" s="749">
        <f>SUM(E361:E370)</f>
        <v>4387254</v>
      </c>
      <c r="F371" s="859">
        <f>E371/D371*100</f>
        <v>100</v>
      </c>
      <c r="G371" s="24"/>
    </row>
    <row r="372" spans="1:7" x14ac:dyDescent="0.2">
      <c r="A372" s="1526" t="s">
        <v>438</v>
      </c>
      <c r="B372" s="860" t="s">
        <v>88</v>
      </c>
      <c r="C372" s="853"/>
      <c r="D372" s="853"/>
      <c r="E372" s="853"/>
      <c r="F372" s="866"/>
      <c r="G372" s="24"/>
    </row>
    <row r="373" spans="1:7" ht="25.5" x14ac:dyDescent="0.2">
      <c r="A373" s="1527"/>
      <c r="B373" s="862" t="s">
        <v>101</v>
      </c>
      <c r="C373" s="727"/>
      <c r="D373" s="727"/>
      <c r="E373" s="727"/>
      <c r="F373" s="867"/>
      <c r="G373" s="24"/>
    </row>
    <row r="374" spans="1:7" x14ac:dyDescent="0.2">
      <c r="A374" s="1527"/>
      <c r="B374" s="862" t="s">
        <v>90</v>
      </c>
      <c r="C374" s="727">
        <v>150000</v>
      </c>
      <c r="D374" s="727">
        <v>1822244</v>
      </c>
      <c r="E374" s="727">
        <v>103247</v>
      </c>
      <c r="F374" s="867">
        <f>E374/D374*100</f>
        <v>5.6659261877114151</v>
      </c>
      <c r="G374" s="24"/>
    </row>
    <row r="375" spans="1:7" x14ac:dyDescent="0.2">
      <c r="A375" s="1527"/>
      <c r="B375" s="862" t="s">
        <v>102</v>
      </c>
      <c r="C375" s="727">
        <v>9348000</v>
      </c>
      <c r="D375" s="727">
        <v>8088919</v>
      </c>
      <c r="E375" s="727">
        <v>8088919</v>
      </c>
      <c r="F375" s="867">
        <f>E375/D375*100</f>
        <v>100</v>
      </c>
      <c r="G375" s="24"/>
    </row>
    <row r="376" spans="1:7" ht="25.5" x14ac:dyDescent="0.2">
      <c r="A376" s="1527"/>
      <c r="B376" s="862" t="s">
        <v>97</v>
      </c>
      <c r="C376" s="727">
        <v>400000</v>
      </c>
      <c r="D376" s="727">
        <v>6519659</v>
      </c>
      <c r="E376" s="727">
        <v>5614510</v>
      </c>
      <c r="F376" s="867">
        <f>E376/D376*100</f>
        <v>86.116620516502479</v>
      </c>
      <c r="G376" s="24"/>
    </row>
    <row r="377" spans="1:7" x14ac:dyDescent="0.2">
      <c r="A377" s="1527"/>
      <c r="B377" s="862" t="s">
        <v>103</v>
      </c>
      <c r="C377" s="727"/>
      <c r="D377" s="727"/>
      <c r="E377" s="727"/>
      <c r="F377" s="867"/>
      <c r="G377" s="24"/>
    </row>
    <row r="378" spans="1:7" x14ac:dyDescent="0.2">
      <c r="A378" s="1527"/>
      <c r="B378" s="862" t="s">
        <v>92</v>
      </c>
      <c r="C378" s="727"/>
      <c r="D378" s="727"/>
      <c r="E378" s="727"/>
      <c r="F378" s="867"/>
      <c r="G378" s="24"/>
    </row>
    <row r="379" spans="1:7" x14ac:dyDescent="0.2">
      <c r="A379" s="1527"/>
      <c r="B379" s="862" t="s">
        <v>93</v>
      </c>
      <c r="C379" s="741"/>
      <c r="D379" s="741"/>
      <c r="E379" s="741"/>
      <c r="F379" s="867"/>
      <c r="G379" s="24"/>
    </row>
    <row r="380" spans="1:7" x14ac:dyDescent="0.2">
      <c r="A380" s="1527"/>
      <c r="B380" s="862" t="s">
        <v>94</v>
      </c>
      <c r="C380" s="741"/>
      <c r="D380" s="741"/>
      <c r="E380" s="741"/>
      <c r="F380" s="867"/>
      <c r="G380" s="24"/>
    </row>
    <row r="381" spans="1:7" ht="13.5" thickBot="1" x14ac:dyDescent="0.25">
      <c r="A381" s="1527"/>
      <c r="B381" s="863" t="s">
        <v>104</v>
      </c>
      <c r="C381" s="743"/>
      <c r="D381" s="743"/>
      <c r="E381" s="743"/>
      <c r="F381" s="868"/>
      <c r="G381" s="24"/>
    </row>
    <row r="382" spans="1:7" ht="13.5" thickBot="1" x14ac:dyDescent="0.25">
      <c r="A382" s="1527"/>
      <c r="B382" s="858" t="s">
        <v>14</v>
      </c>
      <c r="C382" s="749">
        <f>SUM(C372:C381)</f>
        <v>9898000</v>
      </c>
      <c r="D382" s="749">
        <f>SUM(D372:D381)</f>
        <v>16430822</v>
      </c>
      <c r="E382" s="749">
        <f>SUM(E372:E381)</f>
        <v>13806676</v>
      </c>
      <c r="F382" s="859">
        <f>E382/D382*100</f>
        <v>84.029125262266248</v>
      </c>
      <c r="G382" s="24"/>
    </row>
    <row r="383" spans="1:7" x14ac:dyDescent="0.2">
      <c r="A383" s="1526" t="s">
        <v>439</v>
      </c>
      <c r="B383" s="860" t="s">
        <v>88</v>
      </c>
      <c r="C383" s="853"/>
      <c r="D383" s="853"/>
      <c r="E383" s="853"/>
      <c r="F383" s="861"/>
      <c r="G383" s="24"/>
    </row>
    <row r="384" spans="1:7" ht="25.5" x14ac:dyDescent="0.2">
      <c r="A384" s="1527"/>
      <c r="B384" s="862" t="s">
        <v>101</v>
      </c>
      <c r="C384" s="727"/>
      <c r="D384" s="727"/>
      <c r="E384" s="727"/>
      <c r="F384" s="854"/>
      <c r="G384" s="24"/>
    </row>
    <row r="385" spans="1:7" x14ac:dyDescent="0.2">
      <c r="A385" s="1527"/>
      <c r="B385" s="862" t="s">
        <v>90</v>
      </c>
      <c r="C385" s="727">
        <v>4572000</v>
      </c>
      <c r="D385" s="727">
        <v>1383603</v>
      </c>
      <c r="E385" s="727">
        <v>1383603</v>
      </c>
      <c r="F385" s="867">
        <f>E385/D385*100</f>
        <v>100</v>
      </c>
      <c r="G385" s="24"/>
    </row>
    <row r="386" spans="1:7" x14ac:dyDescent="0.2">
      <c r="A386" s="1527"/>
      <c r="B386" s="862" t="s">
        <v>102</v>
      </c>
      <c r="C386" s="727"/>
      <c r="D386" s="727"/>
      <c r="E386" s="727"/>
      <c r="F386" s="854"/>
      <c r="G386" s="24"/>
    </row>
    <row r="387" spans="1:7" ht="25.5" x14ac:dyDescent="0.2">
      <c r="A387" s="1527"/>
      <c r="B387" s="862" t="s">
        <v>97</v>
      </c>
      <c r="C387" s="727"/>
      <c r="D387" s="727"/>
      <c r="E387" s="727"/>
      <c r="F387" s="854"/>
      <c r="G387" s="24"/>
    </row>
    <row r="388" spans="1:7" x14ac:dyDescent="0.2">
      <c r="A388" s="1527"/>
      <c r="B388" s="862" t="s">
        <v>103</v>
      </c>
      <c r="C388" s="727"/>
      <c r="D388" s="727"/>
      <c r="E388" s="727"/>
      <c r="F388" s="854"/>
      <c r="G388" s="24"/>
    </row>
    <row r="389" spans="1:7" x14ac:dyDescent="0.2">
      <c r="A389" s="1527"/>
      <c r="B389" s="862" t="s">
        <v>92</v>
      </c>
      <c r="C389" s="727"/>
      <c r="D389" s="727"/>
      <c r="E389" s="727"/>
      <c r="F389" s="854"/>
      <c r="G389" s="24"/>
    </row>
    <row r="390" spans="1:7" x14ac:dyDescent="0.2">
      <c r="A390" s="1527"/>
      <c r="B390" s="862" t="s">
        <v>93</v>
      </c>
      <c r="C390" s="741"/>
      <c r="D390" s="741"/>
      <c r="E390" s="741"/>
      <c r="F390" s="854"/>
      <c r="G390" s="24"/>
    </row>
    <row r="391" spans="1:7" x14ac:dyDescent="0.2">
      <c r="A391" s="1527"/>
      <c r="B391" s="862" t="s">
        <v>94</v>
      </c>
      <c r="C391" s="741"/>
      <c r="D391" s="741"/>
      <c r="E391" s="741"/>
      <c r="F391" s="854"/>
      <c r="G391" s="24"/>
    </row>
    <row r="392" spans="1:7" ht="13.5" thickBot="1" x14ac:dyDescent="0.25">
      <c r="A392" s="1527"/>
      <c r="B392" s="863" t="s">
        <v>104</v>
      </c>
      <c r="C392" s="743"/>
      <c r="D392" s="743"/>
      <c r="E392" s="743"/>
      <c r="F392" s="864"/>
      <c r="G392" s="24"/>
    </row>
    <row r="393" spans="1:7" ht="13.5" thickBot="1" x14ac:dyDescent="0.25">
      <c r="A393" s="1527"/>
      <c r="B393" s="858" t="s">
        <v>14</v>
      </c>
      <c r="C393" s="749">
        <f>SUM(C383:C392)</f>
        <v>4572000</v>
      </c>
      <c r="D393" s="749">
        <f>SUM(D383:D392)</f>
        <v>1383603</v>
      </c>
      <c r="E393" s="749">
        <f>SUM(E383:E392)</f>
        <v>1383603</v>
      </c>
      <c r="F393" s="859">
        <f>E393/D393*100</f>
        <v>100</v>
      </c>
      <c r="G393" s="24"/>
    </row>
    <row r="394" spans="1:7" x14ac:dyDescent="0.2">
      <c r="A394" s="1526" t="s">
        <v>75</v>
      </c>
      <c r="B394" s="860" t="s">
        <v>88</v>
      </c>
      <c r="C394" s="853"/>
      <c r="D394" s="853"/>
      <c r="E394" s="853"/>
      <c r="F394" s="866"/>
      <c r="G394" s="24"/>
    </row>
    <row r="395" spans="1:7" ht="25.5" x14ac:dyDescent="0.2">
      <c r="A395" s="1527"/>
      <c r="B395" s="862" t="s">
        <v>101</v>
      </c>
      <c r="C395" s="727"/>
      <c r="D395" s="727"/>
      <c r="E395" s="727"/>
      <c r="F395" s="867"/>
      <c r="G395" s="24"/>
    </row>
    <row r="396" spans="1:7" x14ac:dyDescent="0.2">
      <c r="A396" s="1527"/>
      <c r="B396" s="862" t="s">
        <v>90</v>
      </c>
      <c r="C396" s="727">
        <v>2101227</v>
      </c>
      <c r="D396" s="727">
        <v>2780285</v>
      </c>
      <c r="E396" s="727">
        <v>2780285</v>
      </c>
      <c r="F396" s="867">
        <f>E396/D396*100</f>
        <v>100</v>
      </c>
      <c r="G396" s="24"/>
    </row>
    <row r="397" spans="1:7" x14ac:dyDescent="0.2">
      <c r="A397" s="1527"/>
      <c r="B397" s="862" t="s">
        <v>102</v>
      </c>
      <c r="C397" s="727"/>
      <c r="D397" s="727"/>
      <c r="E397" s="727"/>
      <c r="F397" s="867"/>
      <c r="G397" s="24"/>
    </row>
    <row r="398" spans="1:7" ht="25.5" x14ac:dyDescent="0.2">
      <c r="A398" s="1527"/>
      <c r="B398" s="862" t="s">
        <v>97</v>
      </c>
      <c r="C398" s="727"/>
      <c r="D398" s="727"/>
      <c r="E398" s="727"/>
      <c r="F398" s="867"/>
      <c r="G398" s="24"/>
    </row>
    <row r="399" spans="1:7" x14ac:dyDescent="0.2">
      <c r="A399" s="1527"/>
      <c r="B399" s="862" t="s">
        <v>103</v>
      </c>
      <c r="C399" s="727"/>
      <c r="D399" s="727"/>
      <c r="E399" s="727"/>
      <c r="F399" s="867"/>
      <c r="G399" s="24"/>
    </row>
    <row r="400" spans="1:7" x14ac:dyDescent="0.2">
      <c r="A400" s="1527"/>
      <c r="B400" s="862" t="s">
        <v>92</v>
      </c>
      <c r="C400" s="727"/>
      <c r="D400" s="727"/>
      <c r="E400" s="727"/>
      <c r="F400" s="867"/>
      <c r="G400" s="24"/>
    </row>
    <row r="401" spans="1:7" x14ac:dyDescent="0.2">
      <c r="A401" s="1527"/>
      <c r="B401" s="862" t="s">
        <v>93</v>
      </c>
      <c r="C401" s="741"/>
      <c r="D401" s="741"/>
      <c r="E401" s="741"/>
      <c r="F401" s="867"/>
      <c r="G401" s="24"/>
    </row>
    <row r="402" spans="1:7" x14ac:dyDescent="0.2">
      <c r="A402" s="1527"/>
      <c r="B402" s="862" t="s">
        <v>94</v>
      </c>
      <c r="C402" s="741"/>
      <c r="D402" s="741"/>
      <c r="E402" s="741"/>
      <c r="F402" s="867"/>
      <c r="G402" s="24"/>
    </row>
    <row r="403" spans="1:7" ht="13.5" thickBot="1" x14ac:dyDescent="0.25">
      <c r="A403" s="1527"/>
      <c r="B403" s="863" t="s">
        <v>104</v>
      </c>
      <c r="C403" s="743">
        <v>7554365</v>
      </c>
      <c r="D403" s="743">
        <v>7554365</v>
      </c>
      <c r="E403" s="743">
        <v>7554365</v>
      </c>
      <c r="F403" s="867">
        <f>E403/D403*100</f>
        <v>100</v>
      </c>
      <c r="G403" s="24"/>
    </row>
    <row r="404" spans="1:7" ht="13.5" thickBot="1" x14ac:dyDescent="0.25">
      <c r="A404" s="1527"/>
      <c r="B404" s="858" t="s">
        <v>14</v>
      </c>
      <c r="C404" s="749">
        <f>SUM(C394:C403)</f>
        <v>9655592</v>
      </c>
      <c r="D404" s="749">
        <f>SUM(D394:D403)</f>
        <v>10334650</v>
      </c>
      <c r="E404" s="749">
        <f>SUM(E394:E403)</f>
        <v>10334650</v>
      </c>
      <c r="F404" s="859">
        <f>E404/D404*100</f>
        <v>100</v>
      </c>
      <c r="G404" s="24"/>
    </row>
    <row r="405" spans="1:7" ht="13.5" thickBot="1" x14ac:dyDescent="0.25">
      <c r="A405" s="1529" t="s">
        <v>11</v>
      </c>
      <c r="B405" s="1135" t="s">
        <v>88</v>
      </c>
      <c r="C405" s="1138">
        <f>C5+C16+C27+C38+C49+C60+C71+C83+C94+C105+C116+C127+C138+C149+C161+C172+C183+C194+C205+C216+C227+C238+C249+C261+C272+C283+C294+C305+C316+C327+C338+C349+C361+C372+C383+C394</f>
        <v>120227307</v>
      </c>
      <c r="D405" s="1138">
        <f t="shared" ref="D405:E405" si="11">D5+D16+D27+D38+D49+D60+D71+D83+D94+D105+D116+D127+D138+D149+D161+D172+D183+D194+D205+D216+D227+D238+D249+D261+D272+D283+D294+D305+D316+D327+D338+D349+D361+D372+D383+D394</f>
        <v>477119516</v>
      </c>
      <c r="E405" s="1138">
        <f t="shared" si="11"/>
        <v>416078356</v>
      </c>
      <c r="F405" s="1006">
        <f>E405/D405*100</f>
        <v>87.206316666367513</v>
      </c>
    </row>
    <row r="406" spans="1:7" ht="26.25" thickBot="1" x14ac:dyDescent="0.25">
      <c r="A406" s="1530"/>
      <c r="B406" s="1136" t="s">
        <v>101</v>
      </c>
      <c r="C406" s="1138">
        <f t="shared" ref="C406:E414" si="12">C6+C17+C28+C39+C50+C61+C72+C84+C95+C106+C117+C128+C139+C150+C162+C173+C184+C195+C206+C217+C228+C239+C250+C262+C273+C284+C295+C306+C317+C328+C339+C350+C362+C373+C384+C395</f>
        <v>16254995</v>
      </c>
      <c r="D406" s="1138">
        <f t="shared" si="12"/>
        <v>60288102</v>
      </c>
      <c r="E406" s="1138">
        <f t="shared" si="12"/>
        <v>52198000</v>
      </c>
      <c r="F406" s="1149">
        <f t="shared" ref="F406:F415" si="13">E406/D406*100</f>
        <v>86.580931010234821</v>
      </c>
    </row>
    <row r="407" spans="1:7" ht="13.5" thickBot="1" x14ac:dyDescent="0.25">
      <c r="A407" s="1530"/>
      <c r="B407" s="1136" t="s">
        <v>90</v>
      </c>
      <c r="C407" s="1138">
        <f t="shared" si="12"/>
        <v>130865766</v>
      </c>
      <c r="D407" s="1138">
        <f t="shared" si="12"/>
        <v>174141014</v>
      </c>
      <c r="E407" s="1138">
        <f t="shared" si="12"/>
        <v>163148922</v>
      </c>
      <c r="F407" s="1006">
        <f t="shared" si="13"/>
        <v>93.687821296366167</v>
      </c>
    </row>
    <row r="408" spans="1:7" ht="19.5" customHeight="1" thickBot="1" x14ac:dyDescent="0.25">
      <c r="A408" s="1530"/>
      <c r="B408" s="1136" t="s">
        <v>102</v>
      </c>
      <c r="C408" s="1138">
        <f t="shared" si="12"/>
        <v>11298000</v>
      </c>
      <c r="D408" s="1138">
        <f t="shared" si="12"/>
        <v>17769099</v>
      </c>
      <c r="E408" s="1138">
        <f t="shared" si="12"/>
        <v>17717099</v>
      </c>
      <c r="F408" s="1149">
        <f t="shared" si="13"/>
        <v>99.707357137241459</v>
      </c>
    </row>
    <row r="409" spans="1:7" ht="26.25" thickBot="1" x14ac:dyDescent="0.25">
      <c r="A409" s="1530"/>
      <c r="B409" s="1136" t="s">
        <v>97</v>
      </c>
      <c r="C409" s="1138">
        <f t="shared" si="12"/>
        <v>78782952</v>
      </c>
      <c r="D409" s="1138">
        <f t="shared" si="12"/>
        <v>96460654</v>
      </c>
      <c r="E409" s="1138">
        <f t="shared" si="12"/>
        <v>95166055</v>
      </c>
      <c r="F409" s="1006">
        <f t="shared" si="13"/>
        <v>98.657899416688593</v>
      </c>
    </row>
    <row r="410" spans="1:7" ht="13.5" thickBot="1" x14ac:dyDescent="0.25">
      <c r="A410" s="1530"/>
      <c r="B410" s="1136" t="s">
        <v>103</v>
      </c>
      <c r="C410" s="1138">
        <f t="shared" si="12"/>
        <v>11996667</v>
      </c>
      <c r="D410" s="1138">
        <f t="shared" si="12"/>
        <v>2762116</v>
      </c>
      <c r="E410" s="1138">
        <f t="shared" si="12"/>
        <v>0</v>
      </c>
      <c r="F410" s="1149"/>
    </row>
    <row r="411" spans="1:7" ht="13.5" thickBot="1" x14ac:dyDescent="0.25">
      <c r="A411" s="1530"/>
      <c r="B411" s="1136" t="s">
        <v>92</v>
      </c>
      <c r="C411" s="1138">
        <f t="shared" si="12"/>
        <v>2377090290</v>
      </c>
      <c r="D411" s="1138">
        <f t="shared" si="12"/>
        <v>2366210727</v>
      </c>
      <c r="E411" s="1138">
        <f t="shared" si="12"/>
        <v>74662876</v>
      </c>
      <c r="F411" s="1006">
        <f t="shared" si="13"/>
        <v>3.1553772936640057</v>
      </c>
    </row>
    <row r="412" spans="1:7" ht="13.5" thickBot="1" x14ac:dyDescent="0.25">
      <c r="A412" s="1530"/>
      <c r="B412" s="1136" t="s">
        <v>93</v>
      </c>
      <c r="C412" s="1138">
        <f t="shared" si="12"/>
        <v>35192323</v>
      </c>
      <c r="D412" s="1138">
        <f t="shared" si="12"/>
        <v>67447358</v>
      </c>
      <c r="E412" s="1138">
        <f t="shared" si="12"/>
        <v>59619623</v>
      </c>
      <c r="F412" s="1006">
        <f t="shared" si="13"/>
        <v>88.394304488546453</v>
      </c>
    </row>
    <row r="413" spans="1:7" ht="13.5" thickBot="1" x14ac:dyDescent="0.25">
      <c r="A413" s="1530"/>
      <c r="B413" s="1136" t="s">
        <v>94</v>
      </c>
      <c r="C413" s="1138">
        <f t="shared" si="12"/>
        <v>0</v>
      </c>
      <c r="D413" s="1138">
        <f t="shared" si="12"/>
        <v>1500000</v>
      </c>
      <c r="E413" s="1138">
        <f t="shared" si="12"/>
        <v>1500000</v>
      </c>
      <c r="F413" s="1149">
        <f t="shared" si="13"/>
        <v>100</v>
      </c>
    </row>
    <row r="414" spans="1:7" ht="13.5" thickBot="1" x14ac:dyDescent="0.25">
      <c r="A414" s="1530"/>
      <c r="B414" s="1137" t="s">
        <v>104</v>
      </c>
      <c r="C414" s="1138">
        <f t="shared" si="12"/>
        <v>151516499</v>
      </c>
      <c r="D414" s="1138">
        <f t="shared" si="12"/>
        <v>163698590</v>
      </c>
      <c r="E414" s="1138">
        <f t="shared" si="12"/>
        <v>155074226</v>
      </c>
      <c r="F414" s="1006">
        <f t="shared" si="13"/>
        <v>94.731558775185547</v>
      </c>
    </row>
    <row r="415" spans="1:7" ht="13.5" thickBot="1" x14ac:dyDescent="0.25">
      <c r="A415" s="1531"/>
      <c r="B415" s="1007" t="s">
        <v>14</v>
      </c>
      <c r="C415" s="1151">
        <f>SUM(C405:C414)</f>
        <v>2933224799</v>
      </c>
      <c r="D415" s="1006">
        <f>SUM(D405:D414)</f>
        <v>3427397176</v>
      </c>
      <c r="E415" s="1152">
        <f>SUM(E405:E414)</f>
        <v>1035165157</v>
      </c>
      <c r="F415" s="1150">
        <f t="shared" si="13"/>
        <v>30.202661198668153</v>
      </c>
    </row>
  </sheetData>
  <mergeCells count="39">
    <mergeCell ref="A38:A48"/>
    <mergeCell ref="A1:F1"/>
    <mergeCell ref="E2:F2"/>
    <mergeCell ref="A5:A15"/>
    <mergeCell ref="A16:A26"/>
    <mergeCell ref="A27:A37"/>
    <mergeCell ref="A172:A182"/>
    <mergeCell ref="A49:A59"/>
    <mergeCell ref="A60:A70"/>
    <mergeCell ref="A71:A81"/>
    <mergeCell ref="A83:A93"/>
    <mergeCell ref="A94:A104"/>
    <mergeCell ref="A105:A115"/>
    <mergeCell ref="A116:A126"/>
    <mergeCell ref="A127:A137"/>
    <mergeCell ref="A138:A148"/>
    <mergeCell ref="A149:A159"/>
    <mergeCell ref="A161:A171"/>
    <mergeCell ref="A294:A304"/>
    <mergeCell ref="A183:A193"/>
    <mergeCell ref="A194:A204"/>
    <mergeCell ref="A205:A215"/>
    <mergeCell ref="A216:A226"/>
    <mergeCell ref="A227:A237"/>
    <mergeCell ref="A261:A271"/>
    <mergeCell ref="A272:A282"/>
    <mergeCell ref="A283:A293"/>
    <mergeCell ref="A238:A248"/>
    <mergeCell ref="A249:A259"/>
    <mergeCell ref="A305:A315"/>
    <mergeCell ref="A316:A326"/>
    <mergeCell ref="A327:A337"/>
    <mergeCell ref="A338:A348"/>
    <mergeCell ref="A349:A359"/>
    <mergeCell ref="A394:A404"/>
    <mergeCell ref="A405:A415"/>
    <mergeCell ref="A361:A371"/>
    <mergeCell ref="A372:A382"/>
    <mergeCell ref="A383:A393"/>
  </mergeCells>
  <pageMargins left="0.74803149606299213" right="0.74803149606299213" top="0.98425196850393704" bottom="0.98425196850393704" header="0.51181102362204722" footer="0.51181102362204722"/>
  <pageSetup paperSize="9" scale="52" orientation="portrait" r:id="rId1"/>
  <headerFooter alignWithMargins="0">
    <oddHeader>&amp;R2.1. sz. melléklet
....../2019.(V.30.) Egyek Önk.</oddHeader>
  </headerFooter>
  <rowBreaks count="4" manualBreakCount="4">
    <brk id="81" max="5" man="1"/>
    <brk id="159" max="5" man="1"/>
    <brk id="237" max="5" man="1"/>
    <brk id="337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2:N65"/>
  <sheetViews>
    <sheetView topLeftCell="A25" zoomScaleNormal="100" workbookViewId="0">
      <selection activeCell="C64" sqref="C64"/>
    </sheetView>
  </sheetViews>
  <sheetFormatPr defaultRowHeight="12.75" x14ac:dyDescent="0.2"/>
  <cols>
    <col min="1" max="1" width="37.140625" customWidth="1"/>
    <col min="2" max="2" width="44.140625" customWidth="1"/>
    <col min="3" max="3" width="17.28515625" style="88" customWidth="1"/>
    <col min="4" max="4" width="21" style="88" customWidth="1"/>
    <col min="5" max="5" width="18" style="88" customWidth="1"/>
    <col min="6" max="6" width="12.5703125" style="85" customWidth="1"/>
    <col min="7" max="8" width="18" customWidth="1"/>
    <col min="9" max="9" width="12.5703125" customWidth="1"/>
    <col min="10" max="10" width="15.28515625" customWidth="1"/>
    <col min="12" max="12" width="10" bestFit="1" customWidth="1"/>
  </cols>
  <sheetData>
    <row r="2" spans="1:14" ht="32.25" customHeight="1" x14ac:dyDescent="0.2">
      <c r="A2" s="1536" t="s">
        <v>561</v>
      </c>
      <c r="B2" s="1536"/>
      <c r="C2" s="1536"/>
      <c r="D2" s="1536"/>
      <c r="E2" s="1536"/>
      <c r="F2" s="1536"/>
      <c r="G2" s="222"/>
      <c r="H2" s="222"/>
      <c r="I2" s="222"/>
    </row>
    <row r="3" spans="1:14" ht="12.75" customHeight="1" thickBot="1" x14ac:dyDescent="0.25">
      <c r="A3" s="222"/>
      <c r="B3" s="222"/>
      <c r="C3" s="238"/>
      <c r="D3" s="238"/>
      <c r="E3" s="1537" t="s">
        <v>459</v>
      </c>
      <c r="F3" s="1537"/>
      <c r="G3" s="222"/>
      <c r="H3" s="222"/>
      <c r="I3" s="222"/>
    </row>
    <row r="4" spans="1:14" ht="26.25" thickBot="1" x14ac:dyDescent="0.25">
      <c r="A4" s="168" t="s">
        <v>72</v>
      </c>
      <c r="B4" s="208" t="s">
        <v>24</v>
      </c>
      <c r="C4" s="237" t="s">
        <v>156</v>
      </c>
      <c r="D4" s="237" t="s">
        <v>148</v>
      </c>
      <c r="E4" s="237" t="s">
        <v>149</v>
      </c>
      <c r="F4" s="209" t="s">
        <v>150</v>
      </c>
    </row>
    <row r="5" spans="1:14" x14ac:dyDescent="0.2">
      <c r="A5" s="1524" t="s">
        <v>80</v>
      </c>
      <c r="B5" s="220" t="s">
        <v>88</v>
      </c>
      <c r="C5" s="233">
        <v>69184533</v>
      </c>
      <c r="D5" s="233">
        <v>72344783</v>
      </c>
      <c r="E5" s="233">
        <v>71183014</v>
      </c>
      <c r="F5" s="229">
        <f>E5/D5*100</f>
        <v>98.39412193689212</v>
      </c>
      <c r="G5" s="12"/>
      <c r="H5" s="13"/>
      <c r="I5" s="13"/>
      <c r="J5" s="13" t="s">
        <v>41</v>
      </c>
      <c r="K5" s="13"/>
      <c r="L5" s="14"/>
      <c r="M5" s="14"/>
      <c r="N5" s="14"/>
    </row>
    <row r="6" spans="1:14" ht="25.5" x14ac:dyDescent="0.2">
      <c r="A6" s="1525"/>
      <c r="B6" s="221" t="s">
        <v>101</v>
      </c>
      <c r="C6" s="234">
        <v>14010678</v>
      </c>
      <c r="D6" s="234">
        <v>14620970</v>
      </c>
      <c r="E6" s="234">
        <v>14350917</v>
      </c>
      <c r="F6" s="230">
        <f t="shared" ref="F6:F15" si="0">E6/D6*100</f>
        <v>98.152974802629373</v>
      </c>
      <c r="G6" s="15"/>
      <c r="H6" s="16"/>
      <c r="I6" s="16"/>
      <c r="J6" s="16"/>
      <c r="K6" s="16"/>
      <c r="L6" s="16"/>
      <c r="M6" s="16"/>
      <c r="N6" s="16"/>
    </row>
    <row r="7" spans="1:14" x14ac:dyDescent="0.2">
      <c r="A7" s="1525"/>
      <c r="B7" s="221" t="s">
        <v>90</v>
      </c>
      <c r="C7" s="234">
        <v>16645000</v>
      </c>
      <c r="D7" s="234">
        <v>18637382</v>
      </c>
      <c r="E7" s="234">
        <v>13447170</v>
      </c>
      <c r="F7" s="230">
        <f t="shared" si="0"/>
        <v>72.151603696270215</v>
      </c>
      <c r="G7" s="17"/>
      <c r="H7" s="28"/>
      <c r="I7" s="28"/>
      <c r="J7" s="28"/>
      <c r="K7" s="28"/>
      <c r="L7" s="4"/>
      <c r="M7" s="4"/>
      <c r="N7" s="4"/>
    </row>
    <row r="8" spans="1:14" x14ac:dyDescent="0.2">
      <c r="A8" s="1525"/>
      <c r="B8" s="221" t="s">
        <v>102</v>
      </c>
      <c r="C8" s="234"/>
      <c r="D8" s="234"/>
      <c r="E8" s="234"/>
      <c r="F8" s="230"/>
      <c r="G8" s="17"/>
      <c r="H8" s="28"/>
      <c r="I8" s="28"/>
      <c r="J8" s="29"/>
      <c r="K8" s="28"/>
      <c r="L8" s="4"/>
      <c r="M8" s="4"/>
      <c r="N8" s="4"/>
    </row>
    <row r="9" spans="1:14" ht="25.5" x14ac:dyDescent="0.2">
      <c r="A9" s="1525"/>
      <c r="B9" s="221" t="s">
        <v>97</v>
      </c>
      <c r="C9" s="234">
        <v>6687182</v>
      </c>
      <c r="D9" s="234">
        <v>6687182</v>
      </c>
      <c r="E9" s="234">
        <v>6897442</v>
      </c>
      <c r="F9" s="230">
        <f t="shared" si="0"/>
        <v>103.14422427862738</v>
      </c>
      <c r="G9" s="17"/>
      <c r="H9" s="28"/>
      <c r="I9" s="28"/>
      <c r="J9" s="28"/>
      <c r="K9" s="28"/>
      <c r="L9" s="4"/>
      <c r="M9" s="4"/>
      <c r="N9" s="4"/>
    </row>
    <row r="10" spans="1:14" x14ac:dyDescent="0.2">
      <c r="A10" s="1525"/>
      <c r="B10" s="221" t="s">
        <v>103</v>
      </c>
      <c r="C10" s="234"/>
      <c r="D10" s="234"/>
      <c r="E10" s="234"/>
      <c r="F10" s="230"/>
      <c r="G10" s="17"/>
      <c r="H10" s="28"/>
      <c r="I10" s="28"/>
      <c r="J10" s="28"/>
      <c r="K10" s="28"/>
      <c r="L10" s="4"/>
      <c r="M10" s="4"/>
      <c r="N10" s="4"/>
    </row>
    <row r="11" spans="1:14" x14ac:dyDescent="0.2">
      <c r="A11" s="1525"/>
      <c r="B11" s="221" t="s">
        <v>92</v>
      </c>
      <c r="C11" s="234">
        <v>3649400</v>
      </c>
      <c r="D11" s="234">
        <v>3686332</v>
      </c>
      <c r="E11" s="234">
        <v>3386005</v>
      </c>
      <c r="F11" s="230">
        <f t="shared" si="0"/>
        <v>91.852958442158766</v>
      </c>
      <c r="G11" s="17"/>
      <c r="H11" s="28"/>
      <c r="I11" s="28"/>
      <c r="J11" s="28"/>
      <c r="K11" s="28"/>
      <c r="L11" s="4"/>
      <c r="M11" s="4"/>
      <c r="N11" s="4"/>
    </row>
    <row r="12" spans="1:14" x14ac:dyDescent="0.2">
      <c r="A12" s="1525"/>
      <c r="B12" s="221" t="s">
        <v>93</v>
      </c>
      <c r="C12" s="79"/>
      <c r="D12" s="79"/>
      <c r="E12" s="84"/>
      <c r="F12" s="230"/>
      <c r="G12" s="17"/>
      <c r="H12" s="28"/>
      <c r="I12" s="28"/>
      <c r="J12" s="28"/>
      <c r="K12" s="28"/>
      <c r="L12" s="4"/>
      <c r="M12" s="4"/>
      <c r="N12" s="4"/>
    </row>
    <row r="13" spans="1:14" x14ac:dyDescent="0.2">
      <c r="A13" s="1525"/>
      <c r="B13" s="221" t="s">
        <v>94</v>
      </c>
      <c r="C13" s="79"/>
      <c r="D13" s="79"/>
      <c r="E13" s="84"/>
      <c r="F13" s="230"/>
      <c r="G13" s="17"/>
      <c r="H13" s="28"/>
      <c r="I13" s="28"/>
      <c r="J13" s="28"/>
      <c r="K13" s="28"/>
      <c r="L13" s="4"/>
      <c r="M13" s="4"/>
      <c r="N13" s="4"/>
    </row>
    <row r="14" spans="1:14" ht="13.5" thickBot="1" x14ac:dyDescent="0.25">
      <c r="A14" s="1525"/>
      <c r="B14" s="213" t="s">
        <v>104</v>
      </c>
      <c r="C14" s="214"/>
      <c r="D14" s="214"/>
      <c r="E14" s="215"/>
      <c r="F14" s="231"/>
      <c r="G14" s="17"/>
      <c r="H14" s="28"/>
      <c r="I14" s="28"/>
      <c r="J14" s="28"/>
      <c r="K14" s="28"/>
      <c r="L14" s="4"/>
      <c r="M14" s="4"/>
      <c r="N14" s="4"/>
    </row>
    <row r="15" spans="1:14" ht="13.5" thickBot="1" x14ac:dyDescent="0.25">
      <c r="A15" s="1525"/>
      <c r="B15" s="858" t="s">
        <v>14</v>
      </c>
      <c r="C15" s="817">
        <f>SUM(C5:C14)</f>
        <v>110176793</v>
      </c>
      <c r="D15" s="817">
        <f>SUM(D5:D14)</f>
        <v>115976649</v>
      </c>
      <c r="E15" s="817">
        <f>SUM(E5:E14)</f>
        <v>109264548</v>
      </c>
      <c r="F15" s="859">
        <f t="shared" si="0"/>
        <v>94.212541009009499</v>
      </c>
      <c r="G15" s="17"/>
      <c r="H15" s="28"/>
      <c r="I15" s="28"/>
      <c r="J15" s="28"/>
      <c r="K15" s="28"/>
      <c r="L15" s="4"/>
      <c r="M15" s="4"/>
      <c r="N15" s="4"/>
    </row>
    <row r="16" spans="1:14" x14ac:dyDescent="0.2">
      <c r="A16" s="1538" t="s">
        <v>81</v>
      </c>
      <c r="B16" s="210" t="s">
        <v>88</v>
      </c>
      <c r="C16" s="233">
        <v>7409768</v>
      </c>
      <c r="D16" s="233">
        <v>7801711</v>
      </c>
      <c r="E16" s="233">
        <v>7496538</v>
      </c>
      <c r="F16" s="229">
        <f>E16/D16*100</f>
        <v>96.088383689167671</v>
      </c>
      <c r="G16" s="17"/>
      <c r="H16" s="28"/>
      <c r="I16" s="28"/>
      <c r="J16" s="28"/>
      <c r="K16" s="28"/>
      <c r="L16" s="4"/>
      <c r="M16" s="4"/>
      <c r="N16" s="4"/>
    </row>
    <row r="17" spans="1:14" ht="25.5" x14ac:dyDescent="0.2">
      <c r="A17" s="1539"/>
      <c r="B17" s="212" t="s">
        <v>101</v>
      </c>
      <c r="C17" s="234">
        <v>1547455</v>
      </c>
      <c r="D17" s="234">
        <v>1552372</v>
      </c>
      <c r="E17" s="234">
        <v>1543690</v>
      </c>
      <c r="F17" s="230">
        <f>E17/D17*100</f>
        <v>99.440726836093404</v>
      </c>
      <c r="G17" s="17"/>
      <c r="H17" s="28"/>
      <c r="I17" s="28"/>
      <c r="J17" s="28"/>
      <c r="K17" s="28"/>
      <c r="L17" s="4"/>
      <c r="M17" s="4"/>
      <c r="N17" s="4"/>
    </row>
    <row r="18" spans="1:14" x14ac:dyDescent="0.2">
      <c r="A18" s="1539"/>
      <c r="B18" s="212" t="s">
        <v>90</v>
      </c>
      <c r="C18" s="234">
        <v>1161000</v>
      </c>
      <c r="D18" s="234">
        <v>348320</v>
      </c>
      <c r="E18" s="234">
        <v>374359</v>
      </c>
      <c r="F18" s="230">
        <f>E18/D18*100</f>
        <v>107.47559715204409</v>
      </c>
      <c r="G18" s="17"/>
      <c r="H18" s="28"/>
      <c r="I18" s="28"/>
      <c r="J18" s="28"/>
      <c r="K18" s="28"/>
      <c r="L18" s="4"/>
      <c r="M18" s="4"/>
      <c r="N18" s="4"/>
    </row>
    <row r="19" spans="1:14" x14ac:dyDescent="0.2">
      <c r="A19" s="1539"/>
      <c r="B19" s="212" t="s">
        <v>102</v>
      </c>
      <c r="C19" s="234"/>
      <c r="D19" s="234"/>
      <c r="E19" s="234"/>
      <c r="F19" s="230"/>
      <c r="G19" s="17"/>
      <c r="H19" s="28"/>
      <c r="I19" s="28"/>
      <c r="J19" s="28"/>
      <c r="K19" s="28"/>
      <c r="L19" s="4"/>
      <c r="M19" s="4"/>
      <c r="N19" s="4"/>
    </row>
    <row r="20" spans="1:14" ht="25.5" x14ac:dyDescent="0.2">
      <c r="A20" s="1539"/>
      <c r="B20" s="212" t="s">
        <v>97</v>
      </c>
      <c r="C20" s="234">
        <v>1890317</v>
      </c>
      <c r="D20" s="234">
        <v>1890317</v>
      </c>
      <c r="E20" s="234">
        <v>500558</v>
      </c>
      <c r="F20" s="230">
        <f>E20/D20*100</f>
        <v>26.480108891789051</v>
      </c>
      <c r="G20" s="15"/>
      <c r="H20" s="30"/>
      <c r="I20" s="30"/>
      <c r="J20" s="30"/>
      <c r="K20" s="30"/>
      <c r="L20" s="4"/>
      <c r="M20" s="4"/>
      <c r="N20" s="4"/>
    </row>
    <row r="21" spans="1:14" x14ac:dyDescent="0.2">
      <c r="A21" s="1539"/>
      <c r="B21" s="212" t="s">
        <v>103</v>
      </c>
      <c r="C21" s="234"/>
      <c r="D21" s="234"/>
      <c r="E21" s="234"/>
      <c r="F21" s="230"/>
      <c r="H21" s="1"/>
      <c r="I21" s="1"/>
      <c r="J21" s="1"/>
      <c r="K21" s="1"/>
      <c r="L21" s="1"/>
      <c r="M21" s="1"/>
      <c r="N21" s="1"/>
    </row>
    <row r="22" spans="1:14" x14ac:dyDescent="0.2">
      <c r="A22" s="1539"/>
      <c r="B22" s="212" t="s">
        <v>92</v>
      </c>
      <c r="C22" s="234"/>
      <c r="D22" s="234"/>
      <c r="E22" s="234"/>
      <c r="F22" s="230"/>
      <c r="H22" s="1"/>
      <c r="I22" s="1"/>
      <c r="J22" s="1"/>
      <c r="K22" s="1"/>
      <c r="L22" s="1"/>
      <c r="M22" s="1"/>
      <c r="N22" s="1"/>
    </row>
    <row r="23" spans="1:14" x14ac:dyDescent="0.2">
      <c r="A23" s="1539"/>
      <c r="B23" s="212" t="s">
        <v>93</v>
      </c>
      <c r="C23" s="79"/>
      <c r="D23" s="79"/>
      <c r="E23" s="84"/>
      <c r="F23" s="230"/>
    </row>
    <row r="24" spans="1:14" x14ac:dyDescent="0.2">
      <c r="A24" s="1539"/>
      <c r="B24" s="212" t="s">
        <v>94</v>
      </c>
      <c r="C24" s="79"/>
      <c r="D24" s="79"/>
      <c r="E24" s="84"/>
      <c r="F24" s="230"/>
    </row>
    <row r="25" spans="1:14" ht="13.5" thickBot="1" x14ac:dyDescent="0.25">
      <c r="A25" s="1539"/>
      <c r="B25" s="217" t="s">
        <v>104</v>
      </c>
      <c r="C25" s="214"/>
      <c r="D25" s="214"/>
      <c r="E25" s="215"/>
      <c r="F25" s="231"/>
    </row>
    <row r="26" spans="1:14" ht="13.5" thickBot="1" x14ac:dyDescent="0.25">
      <c r="A26" s="1539"/>
      <c r="B26" s="218" t="s">
        <v>14</v>
      </c>
      <c r="C26" s="235">
        <f>SUM(C16:C25)</f>
        <v>12008540</v>
      </c>
      <c r="D26" s="235">
        <f>SUM(D16:D25)</f>
        <v>11592720</v>
      </c>
      <c r="E26" s="235">
        <f>SUM(E16:E25)</f>
        <v>9915145</v>
      </c>
      <c r="F26" s="232">
        <f>E26/D26*100</f>
        <v>85.529064792386947</v>
      </c>
    </row>
    <row r="27" spans="1:14" ht="13.5" thickBot="1" x14ac:dyDescent="0.25">
      <c r="A27" s="1540" t="s">
        <v>559</v>
      </c>
      <c r="B27" s="210" t="s">
        <v>88</v>
      </c>
      <c r="C27" s="233"/>
      <c r="D27" s="233">
        <v>1321871</v>
      </c>
      <c r="E27" s="233">
        <v>1321871</v>
      </c>
      <c r="F27" s="1302">
        <f>E27/D27*100</f>
        <v>100</v>
      </c>
    </row>
    <row r="28" spans="1:14" ht="26.25" thickBot="1" x14ac:dyDescent="0.25">
      <c r="A28" s="1541"/>
      <c r="B28" s="212" t="s">
        <v>101</v>
      </c>
      <c r="C28" s="234"/>
      <c r="D28" s="234">
        <v>277700</v>
      </c>
      <c r="E28" s="234">
        <v>277700</v>
      </c>
      <c r="F28" s="1302">
        <f t="shared" ref="F28:F37" si="1">E28/D28*100</f>
        <v>100</v>
      </c>
    </row>
    <row r="29" spans="1:14" ht="13.5" thickBot="1" x14ac:dyDescent="0.25">
      <c r="A29" s="1541"/>
      <c r="B29" s="212" t="s">
        <v>90</v>
      </c>
      <c r="C29" s="234"/>
      <c r="D29" s="234">
        <v>151565</v>
      </c>
      <c r="E29" s="234">
        <v>151565</v>
      </c>
      <c r="F29" s="1302">
        <f t="shared" si="1"/>
        <v>100</v>
      </c>
    </row>
    <row r="30" spans="1:14" ht="13.5" thickBot="1" x14ac:dyDescent="0.25">
      <c r="A30" s="1541"/>
      <c r="B30" s="212" t="s">
        <v>102</v>
      </c>
      <c r="C30" s="234"/>
      <c r="D30" s="234"/>
      <c r="E30" s="234"/>
      <c r="F30" s="1302"/>
    </row>
    <row r="31" spans="1:14" ht="26.25" thickBot="1" x14ac:dyDescent="0.25">
      <c r="A31" s="1541"/>
      <c r="B31" s="212" t="s">
        <v>97</v>
      </c>
      <c r="C31" s="234"/>
      <c r="D31" s="234"/>
      <c r="E31" s="234"/>
      <c r="F31" s="1302"/>
    </row>
    <row r="32" spans="1:14" ht="13.5" thickBot="1" x14ac:dyDescent="0.25">
      <c r="A32" s="1541"/>
      <c r="B32" s="212" t="s">
        <v>103</v>
      </c>
      <c r="C32" s="234"/>
      <c r="D32" s="234"/>
      <c r="E32" s="234"/>
      <c r="F32" s="1302"/>
    </row>
    <row r="33" spans="1:8" ht="13.5" thickBot="1" x14ac:dyDescent="0.25">
      <c r="A33" s="1541"/>
      <c r="B33" s="212" t="s">
        <v>92</v>
      </c>
      <c r="C33" s="234"/>
      <c r="D33" s="234"/>
      <c r="E33" s="234"/>
      <c r="F33" s="1302"/>
    </row>
    <row r="34" spans="1:8" ht="13.5" thickBot="1" x14ac:dyDescent="0.25">
      <c r="A34" s="1541"/>
      <c r="B34" s="212" t="s">
        <v>93</v>
      </c>
      <c r="C34" s="79"/>
      <c r="D34" s="79"/>
      <c r="E34" s="84"/>
      <c r="F34" s="1302"/>
    </row>
    <row r="35" spans="1:8" ht="13.5" thickBot="1" x14ac:dyDescent="0.25">
      <c r="A35" s="1541"/>
      <c r="B35" s="212" t="s">
        <v>94</v>
      </c>
      <c r="C35" s="79"/>
      <c r="D35" s="79"/>
      <c r="E35" s="84"/>
      <c r="F35" s="1302"/>
    </row>
    <row r="36" spans="1:8" ht="13.5" thickBot="1" x14ac:dyDescent="0.25">
      <c r="A36" s="1541"/>
      <c r="B36" s="217" t="s">
        <v>104</v>
      </c>
      <c r="C36" s="214"/>
      <c r="D36" s="214"/>
      <c r="E36" s="215"/>
      <c r="F36" s="1302"/>
    </row>
    <row r="37" spans="1:8" ht="13.5" thickBot="1" x14ac:dyDescent="0.25">
      <c r="A37" s="1542"/>
      <c r="B37" s="218" t="s">
        <v>14</v>
      </c>
      <c r="C37" s="235">
        <f>SUM(C27:C36)</f>
        <v>0</v>
      </c>
      <c r="D37" s="235">
        <f>SUM(D27:D36)</f>
        <v>1751136</v>
      </c>
      <c r="E37" s="235">
        <f>SUM(E27:E36)</f>
        <v>1751136</v>
      </c>
      <c r="F37" s="232">
        <f t="shared" si="1"/>
        <v>100</v>
      </c>
    </row>
    <row r="38" spans="1:8" ht="13.5" thickBot="1" x14ac:dyDescent="0.25">
      <c r="A38" s="1540" t="s">
        <v>11</v>
      </c>
      <c r="B38" s="319" t="s">
        <v>88</v>
      </c>
      <c r="C38" s="317">
        <f>SUM(C16+C5)</f>
        <v>76594301</v>
      </c>
      <c r="D38" s="317">
        <f>SUM(D16+D5)+D27</f>
        <v>81468365</v>
      </c>
      <c r="E38" s="317">
        <f>SUM(E16+E5)+E27</f>
        <v>80001423</v>
      </c>
      <c r="F38" s="1153">
        <f>E38/D38*100</f>
        <v>98.199372234854593</v>
      </c>
    </row>
    <row r="39" spans="1:8" ht="26.25" thickBot="1" x14ac:dyDescent="0.25">
      <c r="A39" s="1541"/>
      <c r="B39" s="320" t="s">
        <v>101</v>
      </c>
      <c r="C39" s="317">
        <f t="shared" ref="C39" si="2">SUM(C17+C6)</f>
        <v>15558133</v>
      </c>
      <c r="D39" s="317">
        <f t="shared" ref="D39:E39" si="3">SUM(D17+D6)+D28</f>
        <v>16451042</v>
      </c>
      <c r="E39" s="317">
        <f t="shared" si="3"/>
        <v>16172307</v>
      </c>
      <c r="F39" s="1153">
        <f>E39/D39*100</f>
        <v>98.305669634786668</v>
      </c>
    </row>
    <row r="40" spans="1:8" ht="13.5" thickBot="1" x14ac:dyDescent="0.25">
      <c r="A40" s="1541"/>
      <c r="B40" s="319" t="s">
        <v>90</v>
      </c>
      <c r="C40" s="317">
        <f t="shared" ref="C40" si="4">SUM(C18+C7)</f>
        <v>17806000</v>
      </c>
      <c r="D40" s="317">
        <f t="shared" ref="D40:E40" si="5">SUM(D18+D7)+D29</f>
        <v>19137267</v>
      </c>
      <c r="E40" s="317">
        <f t="shared" si="5"/>
        <v>13973094</v>
      </c>
      <c r="F40" s="1153">
        <f>E40/D40*100</f>
        <v>73.015096669759586</v>
      </c>
      <c r="H40" s="31"/>
    </row>
    <row r="41" spans="1:8" ht="13.5" thickBot="1" x14ac:dyDescent="0.25">
      <c r="A41" s="1541"/>
      <c r="B41" s="321" t="s">
        <v>102</v>
      </c>
      <c r="C41" s="317">
        <f t="shared" ref="C41" si="6">SUM(C19+C8)</f>
        <v>0</v>
      </c>
      <c r="D41" s="317">
        <f t="shared" ref="D41:E41" si="7">SUM(D19+D8)+D30</f>
        <v>0</v>
      </c>
      <c r="E41" s="317">
        <f t="shared" si="7"/>
        <v>0</v>
      </c>
      <c r="F41" s="1153"/>
    </row>
    <row r="42" spans="1:8" ht="26.25" thickBot="1" x14ac:dyDescent="0.25">
      <c r="A42" s="1541"/>
      <c r="B42" s="319" t="s">
        <v>97</v>
      </c>
      <c r="C42" s="317">
        <f t="shared" ref="C42" si="8">SUM(C20+C9)</f>
        <v>8577499</v>
      </c>
      <c r="D42" s="317">
        <f t="shared" ref="D42:E42" si="9">SUM(D20+D9)+D31</f>
        <v>8577499</v>
      </c>
      <c r="E42" s="317">
        <f t="shared" si="9"/>
        <v>7398000</v>
      </c>
      <c r="F42" s="1154">
        <f>E42/D42*100</f>
        <v>86.248917079442393</v>
      </c>
    </row>
    <row r="43" spans="1:8" ht="13.5" thickBot="1" x14ac:dyDescent="0.25">
      <c r="A43" s="1541"/>
      <c r="B43" s="321" t="s">
        <v>103</v>
      </c>
      <c r="C43" s="317">
        <f t="shared" ref="C43" si="10">SUM(C21+C10)</f>
        <v>0</v>
      </c>
      <c r="D43" s="317">
        <f t="shared" ref="D43:E43" si="11">SUM(D21+D10)+D32</f>
        <v>0</v>
      </c>
      <c r="E43" s="317">
        <f t="shared" si="11"/>
        <v>0</v>
      </c>
      <c r="F43" s="1153"/>
    </row>
    <row r="44" spans="1:8" ht="13.5" thickBot="1" x14ac:dyDescent="0.25">
      <c r="A44" s="1541"/>
      <c r="B44" s="319" t="s">
        <v>92</v>
      </c>
      <c r="C44" s="317">
        <f t="shared" ref="C44" si="12">SUM(C22+C11)</f>
        <v>3649400</v>
      </c>
      <c r="D44" s="317">
        <f t="shared" ref="D44:E44" si="13">SUM(D22+D11)+D33</f>
        <v>3686332</v>
      </c>
      <c r="E44" s="317">
        <f t="shared" si="13"/>
        <v>3386005</v>
      </c>
      <c r="F44" s="1153">
        <f>E44/D44*100</f>
        <v>91.852958442158766</v>
      </c>
    </row>
    <row r="45" spans="1:8" ht="13.5" thickBot="1" x14ac:dyDescent="0.25">
      <c r="A45" s="1541"/>
      <c r="B45" s="321" t="s">
        <v>93</v>
      </c>
      <c r="C45" s="317">
        <f t="shared" ref="C45" si="14">SUM(C23+C12)</f>
        <v>0</v>
      </c>
      <c r="D45" s="317">
        <f t="shared" ref="D45:E45" si="15">SUM(D23+D12)+D34</f>
        <v>0</v>
      </c>
      <c r="E45" s="317">
        <f t="shared" si="15"/>
        <v>0</v>
      </c>
      <c r="F45" s="1153"/>
    </row>
    <row r="46" spans="1:8" ht="13.5" thickBot="1" x14ac:dyDescent="0.25">
      <c r="A46" s="1541"/>
      <c r="B46" s="319" t="s">
        <v>94</v>
      </c>
      <c r="C46" s="317">
        <f t="shared" ref="C46" si="16">SUM(C24+C13)</f>
        <v>0</v>
      </c>
      <c r="D46" s="317">
        <f t="shared" ref="D46:E46" si="17">SUM(D24+D13)+D35</f>
        <v>0</v>
      </c>
      <c r="E46" s="317">
        <f t="shared" si="17"/>
        <v>0</v>
      </c>
      <c r="F46" s="1153"/>
    </row>
    <row r="47" spans="1:8" ht="13.5" thickBot="1" x14ac:dyDescent="0.25">
      <c r="A47" s="1541"/>
      <c r="B47" s="322" t="s">
        <v>104</v>
      </c>
      <c r="C47" s="317">
        <f t="shared" ref="C47" si="18">SUM(C25+C14)</f>
        <v>0</v>
      </c>
      <c r="D47" s="317">
        <f t="shared" ref="D47:E47" si="19">SUM(D25+D14)+D36</f>
        <v>0</v>
      </c>
      <c r="E47" s="317">
        <f t="shared" si="19"/>
        <v>0</v>
      </c>
      <c r="F47" s="1155"/>
    </row>
    <row r="48" spans="1:8" ht="13.5" thickBot="1" x14ac:dyDescent="0.25">
      <c r="A48" s="1542"/>
      <c r="B48" s="323" t="s">
        <v>14</v>
      </c>
      <c r="C48" s="317">
        <f t="shared" ref="C48" si="20">SUM(C26+C15)</f>
        <v>122185333</v>
      </c>
      <c r="D48" s="317">
        <f>SUM(D26+D15)+D37</f>
        <v>129320505</v>
      </c>
      <c r="E48" s="317">
        <f>SUM(E26+E15)+E37</f>
        <v>120930829</v>
      </c>
      <c r="F48" s="1153">
        <f>E48/D48*100</f>
        <v>93.51249362968386</v>
      </c>
      <c r="H48" s="31"/>
    </row>
    <row r="65" spans="3:3" x14ac:dyDescent="0.2">
      <c r="C65" s="833"/>
    </row>
  </sheetData>
  <mergeCells count="6">
    <mergeCell ref="A2:F2"/>
    <mergeCell ref="E3:F3"/>
    <mergeCell ref="A5:A15"/>
    <mergeCell ref="A16:A26"/>
    <mergeCell ref="A38:A48"/>
    <mergeCell ref="A27:A37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&amp;R2.2. sz. melléklet
......./2019.(V.30.) Egyek Önk.</oddHeader>
  </headerFooter>
  <rowBreaks count="1" manualBreakCount="1">
    <brk id="52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5"/>
  <sheetViews>
    <sheetView zoomScaleNormal="100" workbookViewId="0">
      <selection activeCell="A2" sqref="A2:F2"/>
    </sheetView>
  </sheetViews>
  <sheetFormatPr defaultRowHeight="12.75" x14ac:dyDescent="0.2"/>
  <cols>
    <col min="1" max="1" width="37.140625" customWidth="1"/>
    <col min="2" max="2" width="44.140625" customWidth="1"/>
    <col min="3" max="3" width="17.28515625" style="88" customWidth="1"/>
    <col min="4" max="4" width="21" style="88" customWidth="1"/>
    <col min="5" max="5" width="18" style="88" customWidth="1"/>
    <col min="6" max="6" width="12.5703125" style="85" customWidth="1"/>
    <col min="7" max="8" width="18" customWidth="1"/>
    <col min="9" max="9" width="12.5703125" customWidth="1"/>
    <col min="10" max="10" width="15.28515625" customWidth="1"/>
    <col min="12" max="12" width="10" bestFit="1" customWidth="1"/>
  </cols>
  <sheetData>
    <row r="2" spans="1:14" ht="59.25" customHeight="1" x14ac:dyDescent="0.2">
      <c r="A2" s="1536" t="s">
        <v>585</v>
      </c>
      <c r="B2" s="1536"/>
      <c r="C2" s="1536"/>
      <c r="D2" s="1536"/>
      <c r="E2" s="1536"/>
      <c r="F2" s="1536"/>
      <c r="G2" s="222"/>
      <c r="H2" s="222"/>
      <c r="I2" s="222"/>
    </row>
    <row r="3" spans="1:14" ht="12.75" customHeight="1" thickBot="1" x14ac:dyDescent="0.25">
      <c r="A3" s="222"/>
      <c r="B3" s="222"/>
      <c r="C3" s="238"/>
      <c r="D3" s="238"/>
      <c r="E3" s="1537" t="s">
        <v>459</v>
      </c>
      <c r="F3" s="1537"/>
      <c r="G3" s="222"/>
      <c r="H3" s="222"/>
      <c r="I3" s="222"/>
    </row>
    <row r="4" spans="1:14" ht="26.25" thickBot="1" x14ac:dyDescent="0.25">
      <c r="A4" s="168" t="s">
        <v>72</v>
      </c>
      <c r="B4" s="208" t="s">
        <v>24</v>
      </c>
      <c r="C4" s="237" t="s">
        <v>156</v>
      </c>
      <c r="D4" s="237" t="s">
        <v>148</v>
      </c>
      <c r="E4" s="237" t="s">
        <v>149</v>
      </c>
      <c r="F4" s="209" t="s">
        <v>150</v>
      </c>
    </row>
    <row r="5" spans="1:14" x14ac:dyDescent="0.2">
      <c r="A5" s="1524" t="s">
        <v>80</v>
      </c>
      <c r="B5" s="220" t="s">
        <v>88</v>
      </c>
      <c r="C5" s="233">
        <v>69184533</v>
      </c>
      <c r="D5" s="233">
        <v>72344783</v>
      </c>
      <c r="E5" s="233">
        <v>71183014</v>
      </c>
      <c r="F5" s="229">
        <f>E5/D5*100</f>
        <v>98.39412193689212</v>
      </c>
      <c r="G5" s="12"/>
      <c r="H5" s="13"/>
      <c r="I5" s="13"/>
      <c r="J5" s="13" t="s">
        <v>41</v>
      </c>
      <c r="K5" s="13"/>
      <c r="L5" s="14"/>
      <c r="M5" s="14"/>
      <c r="N5" s="14"/>
    </row>
    <row r="6" spans="1:14" ht="25.5" x14ac:dyDescent="0.2">
      <c r="A6" s="1525"/>
      <c r="B6" s="221" t="s">
        <v>101</v>
      </c>
      <c r="C6" s="234">
        <v>14010678</v>
      </c>
      <c r="D6" s="234">
        <v>14620970</v>
      </c>
      <c r="E6" s="234">
        <v>14350917</v>
      </c>
      <c r="F6" s="230">
        <f t="shared" ref="F6:F15" si="0">E6/D6*100</f>
        <v>98.152974802629373</v>
      </c>
      <c r="G6" s="15"/>
      <c r="H6" s="16"/>
      <c r="I6" s="16"/>
      <c r="J6" s="16"/>
      <c r="K6" s="16"/>
      <c r="L6" s="16"/>
      <c r="M6" s="16"/>
      <c r="N6" s="16"/>
    </row>
    <row r="7" spans="1:14" x14ac:dyDescent="0.2">
      <c r="A7" s="1525"/>
      <c r="B7" s="221" t="s">
        <v>90</v>
      </c>
      <c r="C7" s="234">
        <v>16645000</v>
      </c>
      <c r="D7" s="234">
        <v>18637382</v>
      </c>
      <c r="E7" s="234">
        <v>13447170</v>
      </c>
      <c r="F7" s="230">
        <f t="shared" si="0"/>
        <v>72.151603696270215</v>
      </c>
      <c r="G7" s="17"/>
      <c r="H7" s="28"/>
      <c r="I7" s="28"/>
      <c r="J7" s="28"/>
      <c r="K7" s="28"/>
      <c r="L7" s="4"/>
      <c r="M7" s="4"/>
      <c r="N7" s="4"/>
    </row>
    <row r="8" spans="1:14" x14ac:dyDescent="0.2">
      <c r="A8" s="1525"/>
      <c r="B8" s="221" t="s">
        <v>102</v>
      </c>
      <c r="C8" s="234"/>
      <c r="D8" s="234"/>
      <c r="E8" s="234"/>
      <c r="F8" s="230"/>
      <c r="G8" s="17"/>
      <c r="H8" s="28"/>
      <c r="I8" s="28"/>
      <c r="J8" s="29"/>
      <c r="K8" s="28"/>
      <c r="L8" s="4"/>
      <c r="M8" s="4"/>
      <c r="N8" s="4"/>
    </row>
    <row r="9" spans="1:14" ht="25.5" x14ac:dyDescent="0.2">
      <c r="A9" s="1525"/>
      <c r="B9" s="221" t="s">
        <v>97</v>
      </c>
      <c r="C9" s="234">
        <v>6687182</v>
      </c>
      <c r="D9" s="234">
        <v>6687182</v>
      </c>
      <c r="E9" s="234">
        <v>6897442</v>
      </c>
      <c r="F9" s="230">
        <f t="shared" si="0"/>
        <v>103.14422427862738</v>
      </c>
      <c r="G9" s="17"/>
      <c r="H9" s="28"/>
      <c r="I9" s="28"/>
      <c r="J9" s="28"/>
      <c r="K9" s="28"/>
      <c r="L9" s="4"/>
      <c r="M9" s="4"/>
      <c r="N9" s="4"/>
    </row>
    <row r="10" spans="1:14" x14ac:dyDescent="0.2">
      <c r="A10" s="1525"/>
      <c r="B10" s="221" t="s">
        <v>103</v>
      </c>
      <c r="C10" s="234"/>
      <c r="D10" s="234"/>
      <c r="E10" s="234"/>
      <c r="F10" s="230"/>
      <c r="G10" s="17"/>
      <c r="H10" s="28"/>
      <c r="I10" s="28"/>
      <c r="J10" s="28"/>
      <c r="K10" s="28"/>
      <c r="L10" s="4"/>
      <c r="M10" s="4"/>
      <c r="N10" s="4"/>
    </row>
    <row r="11" spans="1:14" x14ac:dyDescent="0.2">
      <c r="A11" s="1525"/>
      <c r="B11" s="221" t="s">
        <v>92</v>
      </c>
      <c r="C11" s="234">
        <v>3649400</v>
      </c>
      <c r="D11" s="234">
        <v>3686332</v>
      </c>
      <c r="E11" s="234">
        <v>3386005</v>
      </c>
      <c r="F11" s="230">
        <f t="shared" si="0"/>
        <v>91.852958442158766</v>
      </c>
      <c r="G11" s="17"/>
      <c r="H11" s="28"/>
      <c r="I11" s="28"/>
      <c r="J11" s="28"/>
      <c r="K11" s="28"/>
      <c r="L11" s="4"/>
      <c r="M11" s="4"/>
      <c r="N11" s="4"/>
    </row>
    <row r="12" spans="1:14" x14ac:dyDescent="0.2">
      <c r="A12" s="1525"/>
      <c r="B12" s="221" t="s">
        <v>93</v>
      </c>
      <c r="C12" s="79"/>
      <c r="D12" s="79"/>
      <c r="E12" s="84"/>
      <c r="F12" s="230"/>
      <c r="G12" s="17"/>
      <c r="H12" s="28"/>
      <c r="I12" s="28"/>
      <c r="J12" s="28"/>
      <c r="K12" s="28"/>
      <c r="L12" s="4"/>
      <c r="M12" s="4"/>
      <c r="N12" s="4"/>
    </row>
    <row r="13" spans="1:14" x14ac:dyDescent="0.2">
      <c r="A13" s="1525"/>
      <c r="B13" s="221" t="s">
        <v>94</v>
      </c>
      <c r="C13" s="79"/>
      <c r="D13" s="79"/>
      <c r="E13" s="84"/>
      <c r="F13" s="230"/>
      <c r="G13" s="17"/>
      <c r="H13" s="28"/>
      <c r="I13" s="28"/>
      <c r="J13" s="28"/>
      <c r="K13" s="28"/>
      <c r="L13" s="4"/>
      <c r="M13" s="4"/>
      <c r="N13" s="4"/>
    </row>
    <row r="14" spans="1:14" ht="13.5" thickBot="1" x14ac:dyDescent="0.25">
      <c r="A14" s="1525"/>
      <c r="B14" s="213" t="s">
        <v>104</v>
      </c>
      <c r="C14" s="214"/>
      <c r="D14" s="214"/>
      <c r="E14" s="215"/>
      <c r="F14" s="231"/>
      <c r="G14" s="17"/>
      <c r="H14" s="28"/>
      <c r="I14" s="28"/>
      <c r="J14" s="28"/>
      <c r="K14" s="28"/>
      <c r="L14" s="4"/>
      <c r="M14" s="4"/>
      <c r="N14" s="4"/>
    </row>
    <row r="15" spans="1:14" ht="13.5" thickBot="1" x14ac:dyDescent="0.25">
      <c r="A15" s="1525"/>
      <c r="B15" s="858" t="s">
        <v>14</v>
      </c>
      <c r="C15" s="817">
        <f>SUM(C5:C14)</f>
        <v>110176793</v>
      </c>
      <c r="D15" s="817">
        <f>SUM(D5:D14)</f>
        <v>115976649</v>
      </c>
      <c r="E15" s="817">
        <f>SUM(E5:E14)</f>
        <v>109264548</v>
      </c>
      <c r="F15" s="859">
        <f t="shared" si="0"/>
        <v>94.212541009009499</v>
      </c>
      <c r="G15" s="17"/>
      <c r="H15" s="28"/>
      <c r="I15" s="28"/>
      <c r="J15" s="28"/>
      <c r="K15" s="28"/>
      <c r="L15" s="4"/>
      <c r="M15" s="4"/>
      <c r="N15" s="4"/>
    </row>
    <row r="16" spans="1:14" x14ac:dyDescent="0.2">
      <c r="A16" s="1538" t="s">
        <v>81</v>
      </c>
      <c r="B16" s="210" t="s">
        <v>88</v>
      </c>
      <c r="C16" s="233">
        <v>7409768</v>
      </c>
      <c r="D16" s="233">
        <v>7801711</v>
      </c>
      <c r="E16" s="233">
        <v>7496538</v>
      </c>
      <c r="F16" s="229">
        <f>E16/D16*100</f>
        <v>96.088383689167671</v>
      </c>
      <c r="G16" s="17"/>
      <c r="H16" s="28"/>
      <c r="I16" s="28"/>
      <c r="J16" s="28"/>
      <c r="K16" s="28"/>
      <c r="L16" s="4"/>
      <c r="M16" s="4"/>
      <c r="N16" s="4"/>
    </row>
    <row r="17" spans="1:14" ht="25.5" x14ac:dyDescent="0.2">
      <c r="A17" s="1539"/>
      <c r="B17" s="212" t="s">
        <v>101</v>
      </c>
      <c r="C17" s="234">
        <v>1547455</v>
      </c>
      <c r="D17" s="234">
        <v>1552372</v>
      </c>
      <c r="E17" s="234">
        <v>1543690</v>
      </c>
      <c r="F17" s="230">
        <f>E17/D17*100</f>
        <v>99.440726836093404</v>
      </c>
      <c r="G17" s="17"/>
      <c r="H17" s="28"/>
      <c r="I17" s="28"/>
      <c r="J17" s="28"/>
      <c r="K17" s="28"/>
      <c r="L17" s="4"/>
      <c r="M17" s="4"/>
      <c r="N17" s="4"/>
    </row>
    <row r="18" spans="1:14" x14ac:dyDescent="0.2">
      <c r="A18" s="1539"/>
      <c r="B18" s="212" t="s">
        <v>90</v>
      </c>
      <c r="C18" s="234">
        <v>1161000</v>
      </c>
      <c r="D18" s="234">
        <v>348320</v>
      </c>
      <c r="E18" s="234">
        <v>374359</v>
      </c>
      <c r="F18" s="230">
        <f>E18/D18*100</f>
        <v>107.47559715204409</v>
      </c>
      <c r="G18" s="17"/>
      <c r="H18" s="28"/>
      <c r="I18" s="28"/>
      <c r="J18" s="28"/>
      <c r="K18" s="28"/>
      <c r="L18" s="4"/>
      <c r="M18" s="4"/>
      <c r="N18" s="4"/>
    </row>
    <row r="19" spans="1:14" x14ac:dyDescent="0.2">
      <c r="A19" s="1539"/>
      <c r="B19" s="212" t="s">
        <v>102</v>
      </c>
      <c r="C19" s="234"/>
      <c r="D19" s="234"/>
      <c r="E19" s="234"/>
      <c r="F19" s="230"/>
      <c r="G19" s="17"/>
      <c r="H19" s="28"/>
      <c r="I19" s="28"/>
      <c r="J19" s="28"/>
      <c r="K19" s="28"/>
      <c r="L19" s="4"/>
      <c r="M19" s="4"/>
      <c r="N19" s="4"/>
    </row>
    <row r="20" spans="1:14" ht="25.5" x14ac:dyDescent="0.2">
      <c r="A20" s="1539"/>
      <c r="B20" s="212" t="s">
        <v>97</v>
      </c>
      <c r="C20" s="234">
        <v>1890317</v>
      </c>
      <c r="D20" s="234">
        <v>1890317</v>
      </c>
      <c r="E20" s="234">
        <v>500558</v>
      </c>
      <c r="F20" s="230">
        <f>E20/D20*100</f>
        <v>26.480108891789051</v>
      </c>
      <c r="G20" s="15"/>
      <c r="H20" s="30"/>
      <c r="I20" s="30"/>
      <c r="J20" s="30"/>
      <c r="K20" s="30"/>
      <c r="L20" s="4"/>
      <c r="M20" s="4"/>
      <c r="N20" s="4"/>
    </row>
    <row r="21" spans="1:14" x14ac:dyDescent="0.2">
      <c r="A21" s="1539"/>
      <c r="B21" s="212" t="s">
        <v>103</v>
      </c>
      <c r="C21" s="234"/>
      <c r="D21" s="234"/>
      <c r="E21" s="234"/>
      <c r="F21" s="230"/>
      <c r="H21" s="1"/>
      <c r="I21" s="1"/>
      <c r="J21" s="1"/>
      <c r="K21" s="1"/>
      <c r="L21" s="1"/>
      <c r="M21" s="1"/>
      <c r="N21" s="1"/>
    </row>
    <row r="22" spans="1:14" x14ac:dyDescent="0.2">
      <c r="A22" s="1539"/>
      <c r="B22" s="212" t="s">
        <v>92</v>
      </c>
      <c r="C22" s="234"/>
      <c r="D22" s="234"/>
      <c r="E22" s="234"/>
      <c r="F22" s="230"/>
      <c r="H22" s="1"/>
      <c r="I22" s="1"/>
      <c r="J22" s="1"/>
      <c r="K22" s="1"/>
      <c r="L22" s="1"/>
      <c r="M22" s="1"/>
      <c r="N22" s="1"/>
    </row>
    <row r="23" spans="1:14" x14ac:dyDescent="0.2">
      <c r="A23" s="1539"/>
      <c r="B23" s="212" t="s">
        <v>93</v>
      </c>
      <c r="C23" s="79"/>
      <c r="D23" s="79"/>
      <c r="E23" s="84"/>
      <c r="F23" s="230"/>
    </row>
    <row r="24" spans="1:14" x14ac:dyDescent="0.2">
      <c r="A24" s="1539"/>
      <c r="B24" s="212" t="s">
        <v>94</v>
      </c>
      <c r="C24" s="79"/>
      <c r="D24" s="79"/>
      <c r="E24" s="84"/>
      <c r="F24" s="230"/>
    </row>
    <row r="25" spans="1:14" ht="13.5" thickBot="1" x14ac:dyDescent="0.25">
      <c r="A25" s="1539"/>
      <c r="B25" s="217" t="s">
        <v>104</v>
      </c>
      <c r="C25" s="214"/>
      <c r="D25" s="214"/>
      <c r="E25" s="215"/>
      <c r="F25" s="231"/>
    </row>
    <row r="26" spans="1:14" ht="13.5" thickBot="1" x14ac:dyDescent="0.25">
      <c r="A26" s="1539"/>
      <c r="B26" s="218" t="s">
        <v>14</v>
      </c>
      <c r="C26" s="235">
        <f>SUM(C16:C25)</f>
        <v>12008540</v>
      </c>
      <c r="D26" s="235">
        <f>SUM(D16:D25)</f>
        <v>11592720</v>
      </c>
      <c r="E26" s="235">
        <f>SUM(E16:E25)</f>
        <v>9915145</v>
      </c>
      <c r="F26" s="232">
        <f>E26/D26*100</f>
        <v>85.529064792386947</v>
      </c>
    </row>
    <row r="27" spans="1:14" ht="13.5" thickBot="1" x14ac:dyDescent="0.25">
      <c r="A27" s="1540" t="s">
        <v>559</v>
      </c>
      <c r="B27" s="210" t="s">
        <v>88</v>
      </c>
      <c r="C27" s="233"/>
      <c r="D27" s="233">
        <v>1321871</v>
      </c>
      <c r="E27" s="233">
        <v>1321871</v>
      </c>
      <c r="F27" s="1302">
        <f>E27/D27*100</f>
        <v>100</v>
      </c>
    </row>
    <row r="28" spans="1:14" ht="26.25" thickBot="1" x14ac:dyDescent="0.25">
      <c r="A28" s="1541"/>
      <c r="B28" s="212" t="s">
        <v>101</v>
      </c>
      <c r="C28" s="234"/>
      <c r="D28" s="234">
        <v>277700</v>
      </c>
      <c r="E28" s="234">
        <v>277700</v>
      </c>
      <c r="F28" s="1302">
        <f t="shared" ref="F28:F37" si="1">E28/D28*100</f>
        <v>100</v>
      </c>
    </row>
    <row r="29" spans="1:14" ht="13.5" thickBot="1" x14ac:dyDescent="0.25">
      <c r="A29" s="1541"/>
      <c r="B29" s="212" t="s">
        <v>90</v>
      </c>
      <c r="C29" s="234"/>
      <c r="D29" s="234">
        <v>151565</v>
      </c>
      <c r="E29" s="234">
        <v>151565</v>
      </c>
      <c r="F29" s="1302">
        <f t="shared" si="1"/>
        <v>100</v>
      </c>
    </row>
    <row r="30" spans="1:14" ht="13.5" thickBot="1" x14ac:dyDescent="0.25">
      <c r="A30" s="1541"/>
      <c r="B30" s="212" t="s">
        <v>102</v>
      </c>
      <c r="C30" s="234"/>
      <c r="D30" s="234"/>
      <c r="E30" s="234"/>
      <c r="F30" s="1302"/>
    </row>
    <row r="31" spans="1:14" ht="26.25" thickBot="1" x14ac:dyDescent="0.25">
      <c r="A31" s="1541"/>
      <c r="B31" s="212" t="s">
        <v>97</v>
      </c>
      <c r="C31" s="234"/>
      <c r="D31" s="234"/>
      <c r="E31" s="234"/>
      <c r="F31" s="1302"/>
    </row>
    <row r="32" spans="1:14" ht="13.5" thickBot="1" x14ac:dyDescent="0.25">
      <c r="A32" s="1541"/>
      <c r="B32" s="212" t="s">
        <v>103</v>
      </c>
      <c r="C32" s="234"/>
      <c r="D32" s="234"/>
      <c r="E32" s="234"/>
      <c r="F32" s="1302"/>
    </row>
    <row r="33" spans="1:8" ht="13.5" thickBot="1" x14ac:dyDescent="0.25">
      <c r="A33" s="1541"/>
      <c r="B33" s="212" t="s">
        <v>92</v>
      </c>
      <c r="C33" s="234"/>
      <c r="D33" s="234"/>
      <c r="E33" s="234"/>
      <c r="F33" s="1302"/>
    </row>
    <row r="34" spans="1:8" ht="13.5" thickBot="1" x14ac:dyDescent="0.25">
      <c r="A34" s="1541"/>
      <c r="B34" s="212" t="s">
        <v>93</v>
      </c>
      <c r="C34" s="79"/>
      <c r="D34" s="79"/>
      <c r="E34" s="84"/>
      <c r="F34" s="1302"/>
    </row>
    <row r="35" spans="1:8" ht="13.5" thickBot="1" x14ac:dyDescent="0.25">
      <c r="A35" s="1541"/>
      <c r="B35" s="212" t="s">
        <v>94</v>
      </c>
      <c r="C35" s="79"/>
      <c r="D35" s="79"/>
      <c r="E35" s="84"/>
      <c r="F35" s="1302"/>
    </row>
    <row r="36" spans="1:8" ht="13.5" thickBot="1" x14ac:dyDescent="0.25">
      <c r="A36" s="1541"/>
      <c r="B36" s="217" t="s">
        <v>104</v>
      </c>
      <c r="C36" s="214"/>
      <c r="D36" s="214"/>
      <c r="E36" s="215"/>
      <c r="F36" s="1302"/>
    </row>
    <row r="37" spans="1:8" ht="13.5" thickBot="1" x14ac:dyDescent="0.25">
      <c r="A37" s="1542"/>
      <c r="B37" s="218" t="s">
        <v>14</v>
      </c>
      <c r="C37" s="235">
        <f>SUM(C27:C36)</f>
        <v>0</v>
      </c>
      <c r="D37" s="235">
        <f>SUM(D27:D36)</f>
        <v>1751136</v>
      </c>
      <c r="E37" s="235">
        <f>SUM(E27:E36)</f>
        <v>1751136</v>
      </c>
      <c r="F37" s="232">
        <f t="shared" si="1"/>
        <v>100</v>
      </c>
    </row>
    <row r="38" spans="1:8" ht="13.5" thickBot="1" x14ac:dyDescent="0.25">
      <c r="A38" s="1540" t="s">
        <v>11</v>
      </c>
      <c r="B38" s="319" t="s">
        <v>88</v>
      </c>
      <c r="C38" s="317">
        <f>SUM(C16+C5)</f>
        <v>76594301</v>
      </c>
      <c r="D38" s="317">
        <f>SUM(D16+D5)+D27</f>
        <v>81468365</v>
      </c>
      <c r="E38" s="317">
        <f>SUM(E16+E5)+E27</f>
        <v>80001423</v>
      </c>
      <c r="F38" s="1153">
        <f>E38/D38*100</f>
        <v>98.199372234854593</v>
      </c>
    </row>
    <row r="39" spans="1:8" ht="26.25" thickBot="1" x14ac:dyDescent="0.25">
      <c r="A39" s="1541"/>
      <c r="B39" s="320" t="s">
        <v>101</v>
      </c>
      <c r="C39" s="317">
        <f t="shared" ref="C39" si="2">SUM(C17+C6)</f>
        <v>15558133</v>
      </c>
      <c r="D39" s="317">
        <f t="shared" ref="D39:E39" si="3">SUM(D17+D6)+D28</f>
        <v>16451042</v>
      </c>
      <c r="E39" s="317">
        <f t="shared" si="3"/>
        <v>16172307</v>
      </c>
      <c r="F39" s="1153">
        <f>E39/D39*100</f>
        <v>98.305669634786668</v>
      </c>
    </row>
    <row r="40" spans="1:8" ht="13.5" thickBot="1" x14ac:dyDescent="0.25">
      <c r="A40" s="1541"/>
      <c r="B40" s="319" t="s">
        <v>90</v>
      </c>
      <c r="C40" s="317">
        <f t="shared" ref="C40:C41" si="4">SUM(C18+C7)</f>
        <v>17806000</v>
      </c>
      <c r="D40" s="317">
        <f t="shared" ref="D40:E47" si="5">SUM(D18+D7)+D29</f>
        <v>19137267</v>
      </c>
      <c r="E40" s="317">
        <f t="shared" si="5"/>
        <v>13973094</v>
      </c>
      <c r="F40" s="1153">
        <f>E40/D40*100</f>
        <v>73.015096669759586</v>
      </c>
      <c r="H40" s="31"/>
    </row>
    <row r="41" spans="1:8" ht="13.5" thickBot="1" x14ac:dyDescent="0.25">
      <c r="A41" s="1541"/>
      <c r="B41" s="321" t="s">
        <v>102</v>
      </c>
      <c r="C41" s="317">
        <f t="shared" si="4"/>
        <v>0</v>
      </c>
      <c r="D41" s="317">
        <f t="shared" si="5"/>
        <v>0</v>
      </c>
      <c r="E41" s="317">
        <f t="shared" si="5"/>
        <v>0</v>
      </c>
      <c r="F41" s="1153"/>
    </row>
    <row r="42" spans="1:8" ht="26.25" thickBot="1" x14ac:dyDescent="0.25">
      <c r="A42" s="1541"/>
      <c r="B42" s="319" t="s">
        <v>97</v>
      </c>
      <c r="C42" s="317">
        <f t="shared" ref="C42" si="6">SUM(C20+C9)</f>
        <v>8577499</v>
      </c>
      <c r="D42" s="317">
        <f t="shared" si="5"/>
        <v>8577499</v>
      </c>
      <c r="E42" s="317">
        <f t="shared" si="5"/>
        <v>7398000</v>
      </c>
      <c r="F42" s="1154">
        <f>E42/D42*100</f>
        <v>86.248917079442393</v>
      </c>
    </row>
    <row r="43" spans="1:8" ht="13.5" thickBot="1" x14ac:dyDescent="0.25">
      <c r="A43" s="1541"/>
      <c r="B43" s="321" t="s">
        <v>103</v>
      </c>
      <c r="C43" s="317">
        <f t="shared" ref="C43" si="7">SUM(C21+C10)</f>
        <v>0</v>
      </c>
      <c r="D43" s="317">
        <f t="shared" si="5"/>
        <v>0</v>
      </c>
      <c r="E43" s="317">
        <f t="shared" si="5"/>
        <v>0</v>
      </c>
      <c r="F43" s="1153"/>
    </row>
    <row r="44" spans="1:8" ht="13.5" thickBot="1" x14ac:dyDescent="0.25">
      <c r="A44" s="1541"/>
      <c r="B44" s="319" t="s">
        <v>92</v>
      </c>
      <c r="C44" s="317">
        <f t="shared" ref="C44" si="8">SUM(C22+C11)</f>
        <v>3649400</v>
      </c>
      <c r="D44" s="317">
        <f t="shared" si="5"/>
        <v>3686332</v>
      </c>
      <c r="E44" s="317">
        <f t="shared" si="5"/>
        <v>3386005</v>
      </c>
      <c r="F44" s="1153">
        <f>E44/D44*100</f>
        <v>91.852958442158766</v>
      </c>
    </row>
    <row r="45" spans="1:8" ht="13.5" thickBot="1" x14ac:dyDescent="0.25">
      <c r="A45" s="1541"/>
      <c r="B45" s="321" t="s">
        <v>93</v>
      </c>
      <c r="C45" s="317">
        <f t="shared" ref="C45" si="9">SUM(C23+C12)</f>
        <v>0</v>
      </c>
      <c r="D45" s="317">
        <f t="shared" si="5"/>
        <v>0</v>
      </c>
      <c r="E45" s="317">
        <f t="shared" si="5"/>
        <v>0</v>
      </c>
      <c r="F45" s="1153"/>
    </row>
    <row r="46" spans="1:8" ht="13.5" thickBot="1" x14ac:dyDescent="0.25">
      <c r="A46" s="1541"/>
      <c r="B46" s="319" t="s">
        <v>94</v>
      </c>
      <c r="C46" s="317">
        <f t="shared" ref="C46:C48" si="10">SUM(C24+C13)</f>
        <v>0</v>
      </c>
      <c r="D46" s="317">
        <f t="shared" si="5"/>
        <v>0</v>
      </c>
      <c r="E46" s="317">
        <f t="shared" si="5"/>
        <v>0</v>
      </c>
      <c r="F46" s="1153"/>
    </row>
    <row r="47" spans="1:8" ht="13.5" thickBot="1" x14ac:dyDescent="0.25">
      <c r="A47" s="1541"/>
      <c r="B47" s="322" t="s">
        <v>104</v>
      </c>
      <c r="C47" s="317">
        <f t="shared" si="10"/>
        <v>0</v>
      </c>
      <c r="D47" s="317">
        <f t="shared" si="5"/>
        <v>0</v>
      </c>
      <c r="E47" s="317">
        <f t="shared" si="5"/>
        <v>0</v>
      </c>
      <c r="F47" s="1155"/>
    </row>
    <row r="48" spans="1:8" ht="13.5" thickBot="1" x14ac:dyDescent="0.25">
      <c r="A48" s="1542"/>
      <c r="B48" s="323" t="s">
        <v>14</v>
      </c>
      <c r="C48" s="317">
        <f t="shared" si="10"/>
        <v>122185333</v>
      </c>
      <c r="D48" s="317">
        <f>SUM(D26+D15)+D37</f>
        <v>129320505</v>
      </c>
      <c r="E48" s="317">
        <f>SUM(E26+E15)+E37</f>
        <v>120930829</v>
      </c>
      <c r="F48" s="1153">
        <f>E48/D48*100</f>
        <v>93.51249362968386</v>
      </c>
      <c r="H48" s="31"/>
    </row>
    <row r="65" spans="3:3" x14ac:dyDescent="0.2">
      <c r="C65" s="833"/>
    </row>
  </sheetData>
  <mergeCells count="6">
    <mergeCell ref="A38:A48"/>
    <mergeCell ref="A2:F2"/>
    <mergeCell ref="E3:F3"/>
    <mergeCell ref="A5:A15"/>
    <mergeCell ref="A16:A26"/>
    <mergeCell ref="A27:A37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&amp;R2.2. sz. melléklet
......../2019.(V.30.) Egyek Önk.</oddHeader>
  </headerFooter>
  <rowBreaks count="1" manualBreakCount="1">
    <brk id="52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F62"/>
  <sheetViews>
    <sheetView topLeftCell="A34" zoomScale="120" zoomScaleNormal="120" workbookViewId="0">
      <selection activeCell="H4" sqref="H4"/>
    </sheetView>
  </sheetViews>
  <sheetFormatPr defaultRowHeight="12.75" x14ac:dyDescent="0.2"/>
  <cols>
    <col min="1" max="1" width="46.42578125" customWidth="1"/>
    <col min="2" max="2" width="37.42578125" customWidth="1"/>
    <col min="3" max="3" width="15.140625" style="236" customWidth="1"/>
    <col min="4" max="4" width="15.7109375" style="236" customWidth="1"/>
    <col min="5" max="5" width="19.7109375" style="236" customWidth="1"/>
    <col min="6" max="6" width="14.42578125" customWidth="1"/>
    <col min="7" max="7" width="14.5703125" customWidth="1"/>
    <col min="12" max="12" width="12" customWidth="1"/>
  </cols>
  <sheetData>
    <row r="1" spans="1:6" ht="15.75" customHeight="1" x14ac:dyDescent="0.2">
      <c r="A1" s="1543" t="s">
        <v>555</v>
      </c>
      <c r="B1" s="1543"/>
      <c r="C1" s="1543"/>
      <c r="D1" s="1543"/>
      <c r="E1" s="1543"/>
      <c r="F1" s="1543"/>
    </row>
    <row r="2" spans="1:6" x14ac:dyDescent="0.2">
      <c r="A2" s="1543"/>
      <c r="B2" s="1543"/>
      <c r="C2" s="1543"/>
      <c r="D2" s="1543"/>
      <c r="E2" s="1543"/>
      <c r="F2" s="1543"/>
    </row>
    <row r="3" spans="1:6" x14ac:dyDescent="0.2">
      <c r="A3" s="3"/>
      <c r="B3" s="3"/>
      <c r="C3" s="239"/>
      <c r="D3" s="239"/>
      <c r="E3" s="239"/>
      <c r="F3" s="3"/>
    </row>
    <row r="4" spans="1:6" x14ac:dyDescent="0.2">
      <c r="A4" s="3"/>
      <c r="B4" s="3"/>
      <c r="C4" s="239"/>
      <c r="D4" s="239"/>
      <c r="E4" s="239"/>
      <c r="F4" s="3"/>
    </row>
    <row r="5" spans="1:6" x14ac:dyDescent="0.2">
      <c r="A5" s="3"/>
      <c r="B5" s="3"/>
      <c r="C5" s="239"/>
      <c r="D5" s="239"/>
      <c r="E5" s="239"/>
      <c r="F5" s="3"/>
    </row>
    <row r="6" spans="1:6" ht="13.5" thickBot="1" x14ac:dyDescent="0.25">
      <c r="F6" t="s">
        <v>184</v>
      </c>
    </row>
    <row r="7" spans="1:6" ht="13.5" thickBot="1" x14ac:dyDescent="0.25">
      <c r="A7" s="168" t="s">
        <v>72</v>
      </c>
      <c r="B7" s="208" t="s">
        <v>24</v>
      </c>
      <c r="C7" s="237" t="s">
        <v>156</v>
      </c>
      <c r="D7" s="237" t="s">
        <v>148</v>
      </c>
      <c r="E7" s="237" t="s">
        <v>149</v>
      </c>
      <c r="F7" s="209" t="s">
        <v>150</v>
      </c>
    </row>
    <row r="8" spans="1:6" x14ac:dyDescent="0.2">
      <c r="A8" s="1524" t="s">
        <v>82</v>
      </c>
      <c r="B8" s="220" t="s">
        <v>88</v>
      </c>
      <c r="C8" s="233"/>
      <c r="D8" s="233"/>
      <c r="E8" s="233"/>
      <c r="F8" s="1156"/>
    </row>
    <row r="9" spans="1:6" ht="25.5" x14ac:dyDescent="0.2">
      <c r="A9" s="1525"/>
      <c r="B9" s="221" t="s">
        <v>101</v>
      </c>
      <c r="C9" s="234"/>
      <c r="D9" s="234"/>
      <c r="E9" s="234"/>
      <c r="F9" s="1157"/>
    </row>
    <row r="10" spans="1:6" x14ac:dyDescent="0.2">
      <c r="A10" s="1525"/>
      <c r="B10" s="221" t="s">
        <v>90</v>
      </c>
      <c r="C10" s="234">
        <v>671000</v>
      </c>
      <c r="D10" s="234">
        <v>671000</v>
      </c>
      <c r="E10" s="234">
        <v>659805</v>
      </c>
      <c r="F10" s="1157">
        <f>E10/D10*100</f>
        <v>98.331594634873326</v>
      </c>
    </row>
    <row r="11" spans="1:6" x14ac:dyDescent="0.2">
      <c r="A11" s="1525"/>
      <c r="B11" s="221" t="s">
        <v>102</v>
      </c>
      <c r="C11" s="234"/>
      <c r="D11" s="234"/>
      <c r="E11" s="234"/>
      <c r="F11" s="1157"/>
    </row>
    <row r="12" spans="1:6" ht="25.5" x14ac:dyDescent="0.2">
      <c r="A12" s="1525"/>
      <c r="B12" s="221" t="s">
        <v>97</v>
      </c>
      <c r="C12" s="234"/>
      <c r="D12" s="234"/>
      <c r="E12" s="234"/>
      <c r="F12" s="1157"/>
    </row>
    <row r="13" spans="1:6" x14ac:dyDescent="0.2">
      <c r="A13" s="1525"/>
      <c r="B13" s="221" t="s">
        <v>103</v>
      </c>
      <c r="C13" s="234"/>
      <c r="D13" s="234"/>
      <c r="E13" s="234"/>
      <c r="F13" s="1157"/>
    </row>
    <row r="14" spans="1:6" x14ac:dyDescent="0.2">
      <c r="A14" s="1525"/>
      <c r="B14" s="221" t="s">
        <v>92</v>
      </c>
      <c r="C14" s="234"/>
      <c r="D14" s="234"/>
      <c r="E14" s="234"/>
      <c r="F14" s="1157"/>
    </row>
    <row r="15" spans="1:6" x14ac:dyDescent="0.2">
      <c r="A15" s="1525"/>
      <c r="B15" s="221" t="s">
        <v>93</v>
      </c>
      <c r="C15" s="79"/>
      <c r="D15" s="79"/>
      <c r="E15" s="84"/>
      <c r="F15" s="1157"/>
    </row>
    <row r="16" spans="1:6" x14ac:dyDescent="0.2">
      <c r="A16" s="1525"/>
      <c r="B16" s="221" t="s">
        <v>94</v>
      </c>
      <c r="C16" s="79"/>
      <c r="D16" s="79"/>
      <c r="E16" s="84"/>
      <c r="F16" s="1157"/>
    </row>
    <row r="17" spans="1:6" ht="13.5" thickBot="1" x14ac:dyDescent="0.25">
      <c r="A17" s="1525"/>
      <c r="B17" s="213" t="s">
        <v>104</v>
      </c>
      <c r="C17" s="214"/>
      <c r="D17" s="214"/>
      <c r="E17" s="215"/>
      <c r="F17" s="216"/>
    </row>
    <row r="18" spans="1:6" ht="13.5" thickBot="1" x14ac:dyDescent="0.25">
      <c r="A18" s="1525"/>
      <c r="B18" s="218" t="s">
        <v>14</v>
      </c>
      <c r="C18" s="235">
        <f>SUM(C8:C17)</f>
        <v>671000</v>
      </c>
      <c r="D18" s="235">
        <f>SUM(D8:D17)</f>
        <v>671000</v>
      </c>
      <c r="E18" s="235">
        <f>SUM(E8:E17)</f>
        <v>659805</v>
      </c>
      <c r="F18" s="219">
        <f>E18/D18*100</f>
        <v>98.331594634873326</v>
      </c>
    </row>
    <row r="19" spans="1:6" x14ac:dyDescent="0.2">
      <c r="A19" s="1538" t="s">
        <v>83</v>
      </c>
      <c r="B19" s="210" t="s">
        <v>88</v>
      </c>
      <c r="C19" s="233">
        <v>5374300</v>
      </c>
      <c r="D19" s="233">
        <v>5907200</v>
      </c>
      <c r="E19" s="233">
        <v>5887300</v>
      </c>
      <c r="F19" s="1156">
        <f>E19/D19*100</f>
        <v>99.663122968580723</v>
      </c>
    </row>
    <row r="20" spans="1:6" ht="25.5" x14ac:dyDescent="0.2">
      <c r="A20" s="1539"/>
      <c r="B20" s="212" t="s">
        <v>101</v>
      </c>
      <c r="C20" s="234">
        <v>1057000</v>
      </c>
      <c r="D20" s="234">
        <v>1162175</v>
      </c>
      <c r="E20" s="234">
        <v>1158622</v>
      </c>
      <c r="F20" s="1157">
        <f t="shared" ref="F20:F29" si="0">E20/D20*100</f>
        <v>99.69428012132424</v>
      </c>
    </row>
    <row r="21" spans="1:6" x14ac:dyDescent="0.2">
      <c r="A21" s="1539"/>
      <c r="B21" s="212" t="s">
        <v>90</v>
      </c>
      <c r="C21" s="234">
        <v>3205000</v>
      </c>
      <c r="D21" s="234">
        <v>5012157</v>
      </c>
      <c r="E21" s="234">
        <v>3715046</v>
      </c>
      <c r="F21" s="1157">
        <f t="shared" si="0"/>
        <v>74.120702922913225</v>
      </c>
    </row>
    <row r="22" spans="1:6" x14ac:dyDescent="0.2">
      <c r="A22" s="1539"/>
      <c r="B22" s="212" t="s">
        <v>102</v>
      </c>
      <c r="C22" s="234"/>
      <c r="D22" s="234"/>
      <c r="E22" s="234"/>
      <c r="F22" s="1157"/>
    </row>
    <row r="23" spans="1:6" ht="25.5" x14ac:dyDescent="0.2">
      <c r="A23" s="1539"/>
      <c r="B23" s="212" t="s">
        <v>97</v>
      </c>
      <c r="C23" s="234">
        <v>438750</v>
      </c>
      <c r="D23" s="234">
        <v>438750</v>
      </c>
      <c r="E23" s="234">
        <v>370500</v>
      </c>
      <c r="F23" s="1157">
        <f t="shared" si="0"/>
        <v>84.444444444444443</v>
      </c>
    </row>
    <row r="24" spans="1:6" x14ac:dyDescent="0.2">
      <c r="A24" s="1539"/>
      <c r="B24" s="212" t="s">
        <v>103</v>
      </c>
      <c r="C24" s="234"/>
      <c r="D24" s="234"/>
      <c r="E24" s="234"/>
      <c r="F24" s="1157"/>
    </row>
    <row r="25" spans="1:6" x14ac:dyDescent="0.2">
      <c r="A25" s="1539"/>
      <c r="B25" s="212" t="s">
        <v>92</v>
      </c>
      <c r="C25" s="234">
        <v>26000</v>
      </c>
      <c r="D25" s="234"/>
      <c r="E25" s="234"/>
      <c r="F25" s="1157"/>
    </row>
    <row r="26" spans="1:6" x14ac:dyDescent="0.2">
      <c r="A26" s="1539"/>
      <c r="B26" s="212" t="s">
        <v>93</v>
      </c>
      <c r="C26" s="79"/>
      <c r="D26" s="79"/>
      <c r="E26" s="84"/>
      <c r="F26" s="82"/>
    </row>
    <row r="27" spans="1:6" x14ac:dyDescent="0.2">
      <c r="A27" s="1539"/>
      <c r="B27" s="212" t="s">
        <v>94</v>
      </c>
      <c r="C27" s="79"/>
      <c r="D27" s="79"/>
      <c r="E27" s="84"/>
      <c r="F27" s="82"/>
    </row>
    <row r="28" spans="1:6" ht="13.5" thickBot="1" x14ac:dyDescent="0.25">
      <c r="A28" s="1539"/>
      <c r="B28" s="217" t="s">
        <v>104</v>
      </c>
      <c r="C28" s="214"/>
      <c r="D28" s="214"/>
      <c r="E28" s="215"/>
      <c r="F28" s="216"/>
    </row>
    <row r="29" spans="1:6" ht="13.5" thickBot="1" x14ac:dyDescent="0.25">
      <c r="A29" s="1539"/>
      <c r="B29" s="218" t="s">
        <v>14</v>
      </c>
      <c r="C29" s="235">
        <f>SUM(C19:C28)</f>
        <v>10101050</v>
      </c>
      <c r="D29" s="235">
        <f>SUM(D19:D28)</f>
        <v>12520282</v>
      </c>
      <c r="E29" s="235">
        <f>SUM(E19:E28)</f>
        <v>11131468</v>
      </c>
      <c r="F29" s="219">
        <f t="shared" si="0"/>
        <v>88.907486269079243</v>
      </c>
    </row>
    <row r="30" spans="1:6" x14ac:dyDescent="0.2">
      <c r="A30" s="1538" t="s">
        <v>84</v>
      </c>
      <c r="B30" s="210" t="s">
        <v>88</v>
      </c>
      <c r="C30" s="233"/>
      <c r="D30" s="233"/>
      <c r="E30" s="233"/>
      <c r="F30" s="211"/>
    </row>
    <row r="31" spans="1:6" ht="25.5" x14ac:dyDescent="0.2">
      <c r="A31" s="1539"/>
      <c r="B31" s="212" t="s">
        <v>101</v>
      </c>
      <c r="C31" s="234"/>
      <c r="D31" s="234"/>
      <c r="E31" s="234"/>
      <c r="F31" s="82"/>
    </row>
    <row r="32" spans="1:6" x14ac:dyDescent="0.2">
      <c r="A32" s="1539"/>
      <c r="B32" s="212" t="s">
        <v>90</v>
      </c>
      <c r="C32" s="234">
        <v>314000</v>
      </c>
      <c r="D32" s="234">
        <v>340674</v>
      </c>
      <c r="E32" s="234">
        <v>306566</v>
      </c>
      <c r="F32" s="1157">
        <f>E32/D32*100</f>
        <v>89.988082448323027</v>
      </c>
    </row>
    <row r="33" spans="1:6" x14ac:dyDescent="0.2">
      <c r="A33" s="1539"/>
      <c r="B33" s="212" t="s">
        <v>102</v>
      </c>
      <c r="C33" s="234"/>
      <c r="D33" s="234"/>
      <c r="E33" s="234"/>
      <c r="F33" s="1157"/>
    </row>
    <row r="34" spans="1:6" ht="25.5" x14ac:dyDescent="0.2">
      <c r="A34" s="1539"/>
      <c r="B34" s="212" t="s">
        <v>97</v>
      </c>
      <c r="C34" s="234">
        <v>236250</v>
      </c>
      <c r="D34" s="234">
        <v>236250</v>
      </c>
      <c r="E34" s="234">
        <v>199500</v>
      </c>
      <c r="F34" s="1157">
        <f t="shared" ref="F34" si="1">E34/D34*100</f>
        <v>84.444444444444443</v>
      </c>
    </row>
    <row r="35" spans="1:6" x14ac:dyDescent="0.2">
      <c r="A35" s="1539"/>
      <c r="B35" s="212" t="s">
        <v>103</v>
      </c>
      <c r="C35" s="234"/>
      <c r="D35" s="234"/>
      <c r="E35" s="234"/>
      <c r="F35" s="82"/>
    </row>
    <row r="36" spans="1:6" x14ac:dyDescent="0.2">
      <c r="A36" s="1539"/>
      <c r="B36" s="212" t="s">
        <v>92</v>
      </c>
      <c r="C36" s="234"/>
      <c r="D36" s="234"/>
      <c r="E36" s="234"/>
      <c r="F36" s="82"/>
    </row>
    <row r="37" spans="1:6" x14ac:dyDescent="0.2">
      <c r="A37" s="1539"/>
      <c r="B37" s="212" t="s">
        <v>93</v>
      </c>
      <c r="C37" s="79"/>
      <c r="D37" s="79"/>
      <c r="E37" s="84"/>
      <c r="F37" s="82"/>
    </row>
    <row r="38" spans="1:6" x14ac:dyDescent="0.2">
      <c r="A38" s="1539"/>
      <c r="B38" s="212" t="s">
        <v>94</v>
      </c>
      <c r="C38" s="79"/>
      <c r="D38" s="79"/>
      <c r="E38" s="84"/>
      <c r="F38" s="82"/>
    </row>
    <row r="39" spans="1:6" ht="13.5" thickBot="1" x14ac:dyDescent="0.25">
      <c r="A39" s="1539"/>
      <c r="B39" s="217" t="s">
        <v>104</v>
      </c>
      <c r="C39" s="214"/>
      <c r="D39" s="214"/>
      <c r="E39" s="215"/>
      <c r="F39" s="216"/>
    </row>
    <row r="40" spans="1:6" ht="13.5" thickBot="1" x14ac:dyDescent="0.25">
      <c r="A40" s="1539"/>
      <c r="B40" s="218" t="s">
        <v>14</v>
      </c>
      <c r="C40" s="235">
        <f>SUM(C30:C39)</f>
        <v>550250</v>
      </c>
      <c r="D40" s="235">
        <f>SUM(D30:D39)</f>
        <v>576924</v>
      </c>
      <c r="E40" s="235">
        <f>SUM(E30:E39)</f>
        <v>506066</v>
      </c>
      <c r="F40" s="219">
        <f>E40/D40*100</f>
        <v>87.717966317920556</v>
      </c>
    </row>
    <row r="41" spans="1:6" x14ac:dyDescent="0.2">
      <c r="A41" s="1538" t="s">
        <v>85</v>
      </c>
      <c r="B41" s="210" t="s">
        <v>88</v>
      </c>
      <c r="C41" s="233">
        <v>1379800</v>
      </c>
      <c r="D41" s="233">
        <v>1071209</v>
      </c>
      <c r="E41" s="233">
        <v>624554</v>
      </c>
      <c r="F41" s="1156">
        <f>E41/D41*100</f>
        <v>58.30365502903728</v>
      </c>
    </row>
    <row r="42" spans="1:6" ht="25.5" x14ac:dyDescent="0.2">
      <c r="A42" s="1539"/>
      <c r="B42" s="212" t="s">
        <v>101</v>
      </c>
      <c r="C42" s="234">
        <v>400720</v>
      </c>
      <c r="D42" s="234">
        <v>400720</v>
      </c>
      <c r="E42" s="234">
        <v>243157</v>
      </c>
      <c r="F42" s="1157">
        <f>E42/D42*100</f>
        <v>60.680025953284087</v>
      </c>
    </row>
    <row r="43" spans="1:6" x14ac:dyDescent="0.2">
      <c r="A43" s="1539"/>
      <c r="B43" s="212" t="s">
        <v>90</v>
      </c>
      <c r="C43" s="234">
        <v>321000</v>
      </c>
      <c r="D43" s="234">
        <v>171625</v>
      </c>
      <c r="E43" s="234">
        <v>173704</v>
      </c>
      <c r="F43" s="1157">
        <f>E43/D43*100</f>
        <v>101.21136198106338</v>
      </c>
    </row>
    <row r="44" spans="1:6" x14ac:dyDescent="0.2">
      <c r="A44" s="1539"/>
      <c r="B44" s="212" t="s">
        <v>102</v>
      </c>
      <c r="C44" s="234"/>
      <c r="D44" s="234"/>
      <c r="E44" s="234"/>
      <c r="F44" s="1157"/>
    </row>
    <row r="45" spans="1:6" ht="25.5" x14ac:dyDescent="0.2">
      <c r="A45" s="1539"/>
      <c r="B45" s="212" t="s">
        <v>97</v>
      </c>
      <c r="C45" s="234"/>
      <c r="D45" s="234"/>
      <c r="E45" s="234"/>
      <c r="F45" s="1157"/>
    </row>
    <row r="46" spans="1:6" x14ac:dyDescent="0.2">
      <c r="A46" s="1539"/>
      <c r="B46" s="212" t="s">
        <v>103</v>
      </c>
      <c r="C46" s="234"/>
      <c r="D46" s="234"/>
      <c r="E46" s="234"/>
      <c r="F46" s="1157"/>
    </row>
    <row r="47" spans="1:6" x14ac:dyDescent="0.2">
      <c r="A47" s="1539"/>
      <c r="B47" s="212" t="s">
        <v>92</v>
      </c>
      <c r="C47" s="234"/>
      <c r="D47" s="234"/>
      <c r="E47" s="234"/>
      <c r="F47" s="1157"/>
    </row>
    <row r="48" spans="1:6" x14ac:dyDescent="0.2">
      <c r="A48" s="1539"/>
      <c r="B48" s="212" t="s">
        <v>93</v>
      </c>
      <c r="C48" s="79"/>
      <c r="D48" s="79"/>
      <c r="E48" s="84"/>
      <c r="F48" s="1157"/>
    </row>
    <row r="49" spans="1:6" x14ac:dyDescent="0.2">
      <c r="A49" s="1539"/>
      <c r="B49" s="212" t="s">
        <v>94</v>
      </c>
      <c r="C49" s="79"/>
      <c r="D49" s="79"/>
      <c r="E49" s="84"/>
      <c r="F49" s="82"/>
    </row>
    <row r="50" spans="1:6" ht="13.5" thickBot="1" x14ac:dyDescent="0.25">
      <c r="A50" s="1539"/>
      <c r="B50" s="217" t="s">
        <v>104</v>
      </c>
      <c r="C50" s="214"/>
      <c r="D50" s="214"/>
      <c r="E50" s="215"/>
      <c r="F50" s="216"/>
    </row>
    <row r="51" spans="1:6" ht="13.5" thickBot="1" x14ac:dyDescent="0.25">
      <c r="A51" s="1539"/>
      <c r="B51" s="218" t="s">
        <v>14</v>
      </c>
      <c r="C51" s="235">
        <f>SUM(C41:C50)</f>
        <v>2101520</v>
      </c>
      <c r="D51" s="235">
        <f>SUM(D41:D50)</f>
        <v>1643554</v>
      </c>
      <c r="E51" s="235">
        <f>SUM(E41:E50)</f>
        <v>1041415</v>
      </c>
      <c r="F51" s="219">
        <f>E51/D51*100</f>
        <v>63.363601074257367</v>
      </c>
    </row>
    <row r="52" spans="1:6" ht="13.5" thickBot="1" x14ac:dyDescent="0.25">
      <c r="A52" s="1540" t="s">
        <v>11</v>
      </c>
      <c r="B52" s="312" t="s">
        <v>88</v>
      </c>
      <c r="C52" s="326">
        <f t="shared" ref="C52:E62" si="2">C41+C30+C19+C8</f>
        <v>6754100</v>
      </c>
      <c r="D52" s="318">
        <f t="shared" si="2"/>
        <v>6978409</v>
      </c>
      <c r="E52" s="827">
        <f t="shared" si="2"/>
        <v>6511854</v>
      </c>
      <c r="F52" s="324">
        <f>E52/D52*100</f>
        <v>93.314307029009044</v>
      </c>
    </row>
    <row r="53" spans="1:6" ht="26.25" thickBot="1" x14ac:dyDescent="0.25">
      <c r="A53" s="1541"/>
      <c r="B53" s="312" t="s">
        <v>101</v>
      </c>
      <c r="C53" s="326">
        <f t="shared" si="2"/>
        <v>1457720</v>
      </c>
      <c r="D53" s="318">
        <f t="shared" si="2"/>
        <v>1562895</v>
      </c>
      <c r="E53" s="827">
        <f t="shared" si="2"/>
        <v>1401779</v>
      </c>
      <c r="F53" s="324">
        <f t="shared" ref="F53:F62" si="3">E53/D53*100</f>
        <v>89.69118206917291</v>
      </c>
    </row>
    <row r="54" spans="1:6" ht="13.5" thickBot="1" x14ac:dyDescent="0.25">
      <c r="A54" s="1541"/>
      <c r="B54" s="313" t="s">
        <v>90</v>
      </c>
      <c r="C54" s="316">
        <f t="shared" si="2"/>
        <v>4511000</v>
      </c>
      <c r="D54" s="317">
        <f t="shared" si="2"/>
        <v>6195456</v>
      </c>
      <c r="E54" s="828">
        <f t="shared" si="2"/>
        <v>4855121</v>
      </c>
      <c r="F54" s="324">
        <f t="shared" si="3"/>
        <v>78.365837801123917</v>
      </c>
    </row>
    <row r="55" spans="1:6" ht="13.5" thickBot="1" x14ac:dyDescent="0.25">
      <c r="A55" s="1541"/>
      <c r="B55" s="314" t="s">
        <v>102</v>
      </c>
      <c r="C55" s="326">
        <f t="shared" si="2"/>
        <v>0</v>
      </c>
      <c r="D55" s="318">
        <f t="shared" si="2"/>
        <v>0</v>
      </c>
      <c r="E55" s="827">
        <f t="shared" si="2"/>
        <v>0</v>
      </c>
      <c r="F55" s="325"/>
    </row>
    <row r="56" spans="1:6" ht="26.25" thickBot="1" x14ac:dyDescent="0.25">
      <c r="A56" s="1541"/>
      <c r="B56" s="312" t="s">
        <v>97</v>
      </c>
      <c r="C56" s="326">
        <f t="shared" si="2"/>
        <v>675000</v>
      </c>
      <c r="D56" s="318">
        <f t="shared" si="2"/>
        <v>675000</v>
      </c>
      <c r="E56" s="827">
        <f t="shared" si="2"/>
        <v>570000</v>
      </c>
      <c r="F56" s="324">
        <f t="shared" si="3"/>
        <v>84.444444444444443</v>
      </c>
    </row>
    <row r="57" spans="1:6" ht="13.5" thickBot="1" x14ac:dyDescent="0.25">
      <c r="A57" s="1541"/>
      <c r="B57" s="315" t="s">
        <v>103</v>
      </c>
      <c r="C57" s="328">
        <f t="shared" si="2"/>
        <v>0</v>
      </c>
      <c r="D57" s="329">
        <f t="shared" si="2"/>
        <v>0</v>
      </c>
      <c r="E57" s="829">
        <f t="shared" si="2"/>
        <v>0</v>
      </c>
      <c r="F57" s="330"/>
    </row>
    <row r="58" spans="1:6" ht="13.5" thickBot="1" x14ac:dyDescent="0.25">
      <c r="A58" s="1541"/>
      <c r="B58" s="312" t="s">
        <v>92</v>
      </c>
      <c r="C58" s="326">
        <f t="shared" si="2"/>
        <v>26000</v>
      </c>
      <c r="D58" s="318">
        <f t="shared" si="2"/>
        <v>0</v>
      </c>
      <c r="E58" s="827">
        <f t="shared" si="2"/>
        <v>0</v>
      </c>
      <c r="F58" s="324"/>
    </row>
    <row r="59" spans="1:6" ht="13.5" thickBot="1" x14ac:dyDescent="0.25">
      <c r="A59" s="1541"/>
      <c r="B59" s="312" t="s">
        <v>93</v>
      </c>
      <c r="C59" s="326">
        <f t="shared" si="2"/>
        <v>0</v>
      </c>
      <c r="D59" s="318">
        <f t="shared" si="2"/>
        <v>0</v>
      </c>
      <c r="E59" s="827">
        <f t="shared" si="2"/>
        <v>0</v>
      </c>
      <c r="F59" s="324"/>
    </row>
    <row r="60" spans="1:6" ht="13.5" thickBot="1" x14ac:dyDescent="0.25">
      <c r="A60" s="1541"/>
      <c r="B60" s="315" t="s">
        <v>94</v>
      </c>
      <c r="C60" s="328">
        <f t="shared" si="2"/>
        <v>0</v>
      </c>
      <c r="D60" s="329">
        <f t="shared" si="2"/>
        <v>0</v>
      </c>
      <c r="E60" s="328">
        <f t="shared" si="2"/>
        <v>0</v>
      </c>
      <c r="F60" s="330"/>
    </row>
    <row r="61" spans="1:6" ht="13.5" thickBot="1" x14ac:dyDescent="0.25">
      <c r="A61" s="1541"/>
      <c r="B61" s="312" t="s">
        <v>104</v>
      </c>
      <c r="C61" s="326">
        <f t="shared" si="2"/>
        <v>0</v>
      </c>
      <c r="D61" s="318">
        <f t="shared" si="2"/>
        <v>0</v>
      </c>
      <c r="E61" s="326">
        <f t="shared" si="2"/>
        <v>0</v>
      </c>
      <c r="F61" s="324"/>
    </row>
    <row r="62" spans="1:6" ht="13.5" thickBot="1" x14ac:dyDescent="0.25">
      <c r="A62" s="1542"/>
      <c r="B62" s="327" t="s">
        <v>14</v>
      </c>
      <c r="C62" s="882">
        <f t="shared" si="2"/>
        <v>13423820</v>
      </c>
      <c r="D62" s="318">
        <f t="shared" si="2"/>
        <v>15411760</v>
      </c>
      <c r="E62" s="326">
        <f t="shared" si="2"/>
        <v>13338754</v>
      </c>
      <c r="F62" s="324">
        <f t="shared" si="3"/>
        <v>86.549193602807208</v>
      </c>
    </row>
  </sheetData>
  <mergeCells count="6">
    <mergeCell ref="A1:F2"/>
    <mergeCell ref="A8:A18"/>
    <mergeCell ref="A19:A29"/>
    <mergeCell ref="A52:A62"/>
    <mergeCell ref="A30:A40"/>
    <mergeCell ref="A41:A51"/>
  </mergeCells>
  <phoneticPr fontId="27" type="noConversion"/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&amp;R2.3. sz. melléklet
......./2019.(V.30.) Egyek Önk.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49" zoomScale="110" zoomScaleNormal="110" workbookViewId="0">
      <selection activeCell="J15" sqref="J15"/>
    </sheetView>
  </sheetViews>
  <sheetFormatPr defaultRowHeight="12.75" x14ac:dyDescent="0.2"/>
  <cols>
    <col min="1" max="1" width="46.42578125" customWidth="1"/>
    <col min="2" max="2" width="37.42578125" customWidth="1"/>
    <col min="3" max="3" width="15.140625" style="236" customWidth="1"/>
    <col min="4" max="4" width="13.7109375" style="236" customWidth="1"/>
    <col min="5" max="5" width="19.7109375" style="236" customWidth="1"/>
    <col min="6" max="6" width="14.42578125" customWidth="1"/>
    <col min="7" max="7" width="14.5703125" customWidth="1"/>
    <col min="12" max="12" width="12" customWidth="1"/>
  </cols>
  <sheetData>
    <row r="1" spans="1:6" ht="15.75" customHeight="1" x14ac:dyDescent="0.2">
      <c r="A1" s="1543" t="s">
        <v>555</v>
      </c>
      <c r="B1" s="1543"/>
      <c r="C1" s="1543"/>
      <c r="D1" s="1543"/>
      <c r="E1" s="1543"/>
      <c r="F1" s="1543"/>
    </row>
    <row r="2" spans="1:6" x14ac:dyDescent="0.2">
      <c r="A2" s="1543"/>
      <c r="B2" s="1543"/>
      <c r="C2" s="1543"/>
      <c r="D2" s="1543"/>
      <c r="E2" s="1543"/>
      <c r="F2" s="1543"/>
    </row>
    <row r="3" spans="1:6" x14ac:dyDescent="0.2">
      <c r="A3" s="3"/>
      <c r="B3" s="3"/>
      <c r="C3" s="239"/>
      <c r="D3" s="239"/>
      <c r="E3" s="239"/>
      <c r="F3" s="3"/>
    </row>
    <row r="4" spans="1:6" x14ac:dyDescent="0.2">
      <c r="A4" s="3"/>
      <c r="B4" s="3"/>
      <c r="C4" s="239"/>
      <c r="D4" s="239"/>
      <c r="E4" s="239"/>
      <c r="F4" s="3"/>
    </row>
    <row r="5" spans="1:6" x14ac:dyDescent="0.2">
      <c r="A5" s="3"/>
      <c r="B5" s="3"/>
      <c r="C5" s="239"/>
      <c r="D5" s="239"/>
      <c r="E5" s="239"/>
      <c r="F5" s="3"/>
    </row>
    <row r="6" spans="1:6" ht="13.5" thickBot="1" x14ac:dyDescent="0.25">
      <c r="F6" s="78" t="s">
        <v>184</v>
      </c>
    </row>
    <row r="7" spans="1:6" ht="26.25" thickBot="1" x14ac:dyDescent="0.25">
      <c r="A7" s="168" t="s">
        <v>72</v>
      </c>
      <c r="B7" s="208" t="s">
        <v>24</v>
      </c>
      <c r="C7" s="237" t="s">
        <v>156</v>
      </c>
      <c r="D7" s="237" t="s">
        <v>148</v>
      </c>
      <c r="E7" s="237" t="s">
        <v>149</v>
      </c>
      <c r="F7" s="209" t="s">
        <v>150</v>
      </c>
    </row>
    <row r="8" spans="1:6" x14ac:dyDescent="0.2">
      <c r="A8" s="1524" t="s">
        <v>82</v>
      </c>
      <c r="B8" s="220" t="s">
        <v>88</v>
      </c>
      <c r="C8" s="233"/>
      <c r="D8" s="233"/>
      <c r="E8" s="233"/>
      <c r="F8" s="1156"/>
    </row>
    <row r="9" spans="1:6" ht="25.5" x14ac:dyDescent="0.2">
      <c r="A9" s="1525"/>
      <c r="B9" s="221" t="s">
        <v>101</v>
      </c>
      <c r="C9" s="234"/>
      <c r="D9" s="234"/>
      <c r="E9" s="234"/>
      <c r="F9" s="1157"/>
    </row>
    <row r="10" spans="1:6" x14ac:dyDescent="0.2">
      <c r="A10" s="1525"/>
      <c r="B10" s="221" t="s">
        <v>90</v>
      </c>
      <c r="C10" s="234">
        <v>671000</v>
      </c>
      <c r="D10" s="234">
        <v>671000</v>
      </c>
      <c r="E10" s="234">
        <v>659805</v>
      </c>
      <c r="F10" s="1157">
        <f>E10/D10*100</f>
        <v>98.331594634873326</v>
      </c>
    </row>
    <row r="11" spans="1:6" x14ac:dyDescent="0.2">
      <c r="A11" s="1525"/>
      <c r="B11" s="221" t="s">
        <v>102</v>
      </c>
      <c r="C11" s="234"/>
      <c r="D11" s="234"/>
      <c r="E11" s="234"/>
      <c r="F11" s="1157"/>
    </row>
    <row r="12" spans="1:6" ht="25.5" x14ac:dyDescent="0.2">
      <c r="A12" s="1525"/>
      <c r="B12" s="221" t="s">
        <v>97</v>
      </c>
      <c r="C12" s="234"/>
      <c r="D12" s="234"/>
      <c r="E12" s="234"/>
      <c r="F12" s="1157"/>
    </row>
    <row r="13" spans="1:6" x14ac:dyDescent="0.2">
      <c r="A13" s="1525"/>
      <c r="B13" s="221" t="s">
        <v>103</v>
      </c>
      <c r="C13" s="234"/>
      <c r="D13" s="234"/>
      <c r="E13" s="234"/>
      <c r="F13" s="1157"/>
    </row>
    <row r="14" spans="1:6" x14ac:dyDescent="0.2">
      <c r="A14" s="1525"/>
      <c r="B14" s="221" t="s">
        <v>92</v>
      </c>
      <c r="C14" s="234"/>
      <c r="D14" s="234"/>
      <c r="E14" s="234"/>
      <c r="F14" s="1157"/>
    </row>
    <row r="15" spans="1:6" x14ac:dyDescent="0.2">
      <c r="A15" s="1525"/>
      <c r="B15" s="221" t="s">
        <v>93</v>
      </c>
      <c r="C15" s="79"/>
      <c r="D15" s="79"/>
      <c r="E15" s="84"/>
      <c r="F15" s="1157"/>
    </row>
    <row r="16" spans="1:6" x14ac:dyDescent="0.2">
      <c r="A16" s="1525"/>
      <c r="B16" s="221" t="s">
        <v>94</v>
      </c>
      <c r="C16" s="79"/>
      <c r="D16" s="79"/>
      <c r="E16" s="84"/>
      <c r="F16" s="1157"/>
    </row>
    <row r="17" spans="1:6" ht="13.5" thickBot="1" x14ac:dyDescent="0.25">
      <c r="A17" s="1525"/>
      <c r="B17" s="213" t="s">
        <v>104</v>
      </c>
      <c r="C17" s="214"/>
      <c r="D17" s="214"/>
      <c r="E17" s="215"/>
      <c r="F17" s="216"/>
    </row>
    <row r="18" spans="1:6" ht="13.5" thickBot="1" x14ac:dyDescent="0.25">
      <c r="A18" s="1525"/>
      <c r="B18" s="218" t="s">
        <v>14</v>
      </c>
      <c r="C18" s="235">
        <f>SUM(C8:C17)</f>
        <v>671000</v>
      </c>
      <c r="D18" s="235">
        <f>SUM(D8:D17)</f>
        <v>671000</v>
      </c>
      <c r="E18" s="235">
        <f>SUM(E8:E17)</f>
        <v>659805</v>
      </c>
      <c r="F18" s="219">
        <f>E18/D18*100</f>
        <v>98.331594634873326</v>
      </c>
    </row>
    <row r="19" spans="1:6" x14ac:dyDescent="0.2">
      <c r="A19" s="1538" t="s">
        <v>83</v>
      </c>
      <c r="B19" s="210" t="s">
        <v>88</v>
      </c>
      <c r="C19" s="233">
        <v>5374300</v>
      </c>
      <c r="D19" s="233">
        <v>5907200</v>
      </c>
      <c r="E19" s="233">
        <v>5887300</v>
      </c>
      <c r="F19" s="1156">
        <f>E19/D19*100</f>
        <v>99.663122968580723</v>
      </c>
    </row>
    <row r="20" spans="1:6" ht="25.5" x14ac:dyDescent="0.2">
      <c r="A20" s="1539"/>
      <c r="B20" s="212" t="s">
        <v>101</v>
      </c>
      <c r="C20" s="234">
        <v>1057000</v>
      </c>
      <c r="D20" s="234">
        <v>1162175</v>
      </c>
      <c r="E20" s="234">
        <v>1158622</v>
      </c>
      <c r="F20" s="1157">
        <f t="shared" ref="F20:F29" si="0">E20/D20*100</f>
        <v>99.69428012132424</v>
      </c>
    </row>
    <row r="21" spans="1:6" x14ac:dyDescent="0.2">
      <c r="A21" s="1539"/>
      <c r="B21" s="212" t="s">
        <v>90</v>
      </c>
      <c r="C21" s="234">
        <v>3205000</v>
      </c>
      <c r="D21" s="234">
        <v>5012157</v>
      </c>
      <c r="E21" s="234">
        <v>3715046</v>
      </c>
      <c r="F21" s="1157">
        <f t="shared" si="0"/>
        <v>74.120702922913225</v>
      </c>
    </row>
    <row r="22" spans="1:6" x14ac:dyDescent="0.2">
      <c r="A22" s="1539"/>
      <c r="B22" s="212" t="s">
        <v>102</v>
      </c>
      <c r="C22" s="234"/>
      <c r="D22" s="234"/>
      <c r="E22" s="234"/>
      <c r="F22" s="1157"/>
    </row>
    <row r="23" spans="1:6" ht="25.5" x14ac:dyDescent="0.2">
      <c r="A23" s="1539"/>
      <c r="B23" s="212" t="s">
        <v>97</v>
      </c>
      <c r="C23" s="234">
        <v>438750</v>
      </c>
      <c r="D23" s="234">
        <v>438750</v>
      </c>
      <c r="E23" s="234">
        <v>370500</v>
      </c>
      <c r="F23" s="1157">
        <f t="shared" si="0"/>
        <v>84.444444444444443</v>
      </c>
    </row>
    <row r="24" spans="1:6" x14ac:dyDescent="0.2">
      <c r="A24" s="1539"/>
      <c r="B24" s="212" t="s">
        <v>103</v>
      </c>
      <c r="C24" s="234"/>
      <c r="D24" s="234"/>
      <c r="E24" s="234"/>
      <c r="F24" s="1157"/>
    </row>
    <row r="25" spans="1:6" x14ac:dyDescent="0.2">
      <c r="A25" s="1539"/>
      <c r="B25" s="212" t="s">
        <v>92</v>
      </c>
      <c r="C25" s="234">
        <v>26000</v>
      </c>
      <c r="D25" s="234"/>
      <c r="E25" s="234"/>
      <c r="F25" s="1157"/>
    </row>
    <row r="26" spans="1:6" x14ac:dyDescent="0.2">
      <c r="A26" s="1539"/>
      <c r="B26" s="212" t="s">
        <v>93</v>
      </c>
      <c r="C26" s="79"/>
      <c r="D26" s="79"/>
      <c r="E26" s="84"/>
      <c r="F26" s="82"/>
    </row>
    <row r="27" spans="1:6" x14ac:dyDescent="0.2">
      <c r="A27" s="1539"/>
      <c r="B27" s="212" t="s">
        <v>94</v>
      </c>
      <c r="C27" s="79"/>
      <c r="D27" s="79"/>
      <c r="E27" s="84"/>
      <c r="F27" s="82"/>
    </row>
    <row r="28" spans="1:6" ht="13.5" thickBot="1" x14ac:dyDescent="0.25">
      <c r="A28" s="1539"/>
      <c r="B28" s="217" t="s">
        <v>104</v>
      </c>
      <c r="C28" s="214"/>
      <c r="D28" s="214"/>
      <c r="E28" s="215"/>
      <c r="F28" s="216"/>
    </row>
    <row r="29" spans="1:6" ht="13.5" thickBot="1" x14ac:dyDescent="0.25">
      <c r="A29" s="1539"/>
      <c r="B29" s="218" t="s">
        <v>14</v>
      </c>
      <c r="C29" s="235">
        <f>SUM(C19:C28)</f>
        <v>10101050</v>
      </c>
      <c r="D29" s="235">
        <f>SUM(D19:D28)</f>
        <v>12520282</v>
      </c>
      <c r="E29" s="235">
        <f>SUM(E19:E28)</f>
        <v>11131468</v>
      </c>
      <c r="F29" s="219">
        <f t="shared" si="0"/>
        <v>88.907486269079243</v>
      </c>
    </row>
    <row r="30" spans="1:6" x14ac:dyDescent="0.2">
      <c r="A30" s="1538" t="s">
        <v>84</v>
      </c>
      <c r="B30" s="210" t="s">
        <v>88</v>
      </c>
      <c r="C30" s="233"/>
      <c r="D30" s="233"/>
      <c r="E30" s="233"/>
      <c r="F30" s="211"/>
    </row>
    <row r="31" spans="1:6" ht="25.5" x14ac:dyDescent="0.2">
      <c r="A31" s="1539"/>
      <c r="B31" s="212" t="s">
        <v>101</v>
      </c>
      <c r="C31" s="234"/>
      <c r="D31" s="234"/>
      <c r="E31" s="234"/>
      <c r="F31" s="82"/>
    </row>
    <row r="32" spans="1:6" x14ac:dyDescent="0.2">
      <c r="A32" s="1539"/>
      <c r="B32" s="212" t="s">
        <v>90</v>
      </c>
      <c r="C32" s="234">
        <v>314000</v>
      </c>
      <c r="D32" s="234">
        <v>340674</v>
      </c>
      <c r="E32" s="234">
        <v>306566</v>
      </c>
      <c r="F32" s="1157">
        <f>E32/D32*100</f>
        <v>89.988082448323027</v>
      </c>
    </row>
    <row r="33" spans="1:6" x14ac:dyDescent="0.2">
      <c r="A33" s="1539"/>
      <c r="B33" s="212" t="s">
        <v>102</v>
      </c>
      <c r="C33" s="234"/>
      <c r="D33" s="234"/>
      <c r="E33" s="234"/>
      <c r="F33" s="1157"/>
    </row>
    <row r="34" spans="1:6" ht="25.5" x14ac:dyDescent="0.2">
      <c r="A34" s="1539"/>
      <c r="B34" s="212" t="s">
        <v>97</v>
      </c>
      <c r="C34" s="234">
        <v>236250</v>
      </c>
      <c r="D34" s="234">
        <v>236250</v>
      </c>
      <c r="E34" s="234">
        <v>199500</v>
      </c>
      <c r="F34" s="1157">
        <f t="shared" ref="F34" si="1">E34/D34*100</f>
        <v>84.444444444444443</v>
      </c>
    </row>
    <row r="35" spans="1:6" x14ac:dyDescent="0.2">
      <c r="A35" s="1539"/>
      <c r="B35" s="212" t="s">
        <v>103</v>
      </c>
      <c r="C35" s="234"/>
      <c r="D35" s="234"/>
      <c r="E35" s="234"/>
      <c r="F35" s="82"/>
    </row>
    <row r="36" spans="1:6" x14ac:dyDescent="0.2">
      <c r="A36" s="1539"/>
      <c r="B36" s="212" t="s">
        <v>92</v>
      </c>
      <c r="C36" s="234"/>
      <c r="D36" s="234"/>
      <c r="E36" s="234"/>
      <c r="F36" s="82"/>
    </row>
    <row r="37" spans="1:6" x14ac:dyDescent="0.2">
      <c r="A37" s="1539"/>
      <c r="B37" s="212" t="s">
        <v>93</v>
      </c>
      <c r="C37" s="79"/>
      <c r="D37" s="79"/>
      <c r="E37" s="84"/>
      <c r="F37" s="82"/>
    </row>
    <row r="38" spans="1:6" x14ac:dyDescent="0.2">
      <c r="A38" s="1539"/>
      <c r="B38" s="212" t="s">
        <v>94</v>
      </c>
      <c r="C38" s="79"/>
      <c r="D38" s="79"/>
      <c r="E38" s="84"/>
      <c r="F38" s="82"/>
    </row>
    <row r="39" spans="1:6" ht="13.5" thickBot="1" x14ac:dyDescent="0.25">
      <c r="A39" s="1539"/>
      <c r="B39" s="217" t="s">
        <v>104</v>
      </c>
      <c r="C39" s="214"/>
      <c r="D39" s="214"/>
      <c r="E39" s="215"/>
      <c r="F39" s="216"/>
    </row>
    <row r="40" spans="1:6" ht="13.5" thickBot="1" x14ac:dyDescent="0.25">
      <c r="A40" s="1539"/>
      <c r="B40" s="218" t="s">
        <v>14</v>
      </c>
      <c r="C40" s="235">
        <f>SUM(C30:C39)</f>
        <v>550250</v>
      </c>
      <c r="D40" s="235">
        <f>SUM(D30:D39)</f>
        <v>576924</v>
      </c>
      <c r="E40" s="235">
        <f>SUM(E30:E39)</f>
        <v>506066</v>
      </c>
      <c r="F40" s="219">
        <f>E40/D40*100</f>
        <v>87.717966317920556</v>
      </c>
    </row>
    <row r="41" spans="1:6" x14ac:dyDescent="0.2">
      <c r="A41" s="1538" t="s">
        <v>85</v>
      </c>
      <c r="B41" s="210" t="s">
        <v>88</v>
      </c>
      <c r="C41" s="233">
        <v>1379800</v>
      </c>
      <c r="D41" s="233">
        <v>1071209</v>
      </c>
      <c r="E41" s="233">
        <v>624554</v>
      </c>
      <c r="F41" s="1156">
        <f>E41/D41*100</f>
        <v>58.30365502903728</v>
      </c>
    </row>
    <row r="42" spans="1:6" ht="25.5" x14ac:dyDescent="0.2">
      <c r="A42" s="1539"/>
      <c r="B42" s="212" t="s">
        <v>101</v>
      </c>
      <c r="C42" s="234">
        <v>400720</v>
      </c>
      <c r="D42" s="234">
        <v>400720</v>
      </c>
      <c r="E42" s="234">
        <v>243157</v>
      </c>
      <c r="F42" s="1157">
        <f>E42/D42*100</f>
        <v>60.680025953284087</v>
      </c>
    </row>
    <row r="43" spans="1:6" x14ac:dyDescent="0.2">
      <c r="A43" s="1539"/>
      <c r="B43" s="212" t="s">
        <v>90</v>
      </c>
      <c r="C43" s="234">
        <v>321000</v>
      </c>
      <c r="D43" s="234">
        <v>171625</v>
      </c>
      <c r="E43" s="234">
        <v>173704</v>
      </c>
      <c r="F43" s="1157">
        <f>E43/D43*100</f>
        <v>101.21136198106338</v>
      </c>
    </row>
    <row r="44" spans="1:6" x14ac:dyDescent="0.2">
      <c r="A44" s="1539"/>
      <c r="B44" s="212" t="s">
        <v>102</v>
      </c>
      <c r="C44" s="234"/>
      <c r="D44" s="234"/>
      <c r="E44" s="234"/>
      <c r="F44" s="1157"/>
    </row>
    <row r="45" spans="1:6" ht="25.5" x14ac:dyDescent="0.2">
      <c r="A45" s="1539"/>
      <c r="B45" s="212" t="s">
        <v>97</v>
      </c>
      <c r="C45" s="234"/>
      <c r="D45" s="234"/>
      <c r="E45" s="234"/>
      <c r="F45" s="1157"/>
    </row>
    <row r="46" spans="1:6" x14ac:dyDescent="0.2">
      <c r="A46" s="1539"/>
      <c r="B46" s="212" t="s">
        <v>103</v>
      </c>
      <c r="C46" s="234"/>
      <c r="D46" s="234"/>
      <c r="E46" s="234"/>
      <c r="F46" s="1157"/>
    </row>
    <row r="47" spans="1:6" x14ac:dyDescent="0.2">
      <c r="A47" s="1539"/>
      <c r="B47" s="212" t="s">
        <v>92</v>
      </c>
      <c r="C47" s="234"/>
      <c r="D47" s="234"/>
      <c r="E47" s="234"/>
      <c r="F47" s="1157"/>
    </row>
    <row r="48" spans="1:6" x14ac:dyDescent="0.2">
      <c r="A48" s="1539"/>
      <c r="B48" s="212" t="s">
        <v>93</v>
      </c>
      <c r="C48" s="79"/>
      <c r="D48" s="79"/>
      <c r="E48" s="84"/>
      <c r="F48" s="1157"/>
    </row>
    <row r="49" spans="1:6" x14ac:dyDescent="0.2">
      <c r="A49" s="1539"/>
      <c r="B49" s="212" t="s">
        <v>94</v>
      </c>
      <c r="C49" s="79"/>
      <c r="D49" s="79"/>
      <c r="E49" s="84"/>
      <c r="F49" s="82"/>
    </row>
    <row r="50" spans="1:6" ht="13.5" thickBot="1" x14ac:dyDescent="0.25">
      <c r="A50" s="1539"/>
      <c r="B50" s="217" t="s">
        <v>104</v>
      </c>
      <c r="C50" s="214"/>
      <c r="D50" s="214"/>
      <c r="E50" s="215"/>
      <c r="F50" s="216"/>
    </row>
    <row r="51" spans="1:6" ht="13.5" thickBot="1" x14ac:dyDescent="0.25">
      <c r="A51" s="1539"/>
      <c r="B51" s="218" t="s">
        <v>14</v>
      </c>
      <c r="C51" s="235">
        <f>SUM(C41:C50)</f>
        <v>2101520</v>
      </c>
      <c r="D51" s="235">
        <f>SUM(D41:D50)</f>
        <v>1643554</v>
      </c>
      <c r="E51" s="235">
        <f>SUM(E41:E50)</f>
        <v>1041415</v>
      </c>
      <c r="F51" s="219">
        <f>E51/D51*100</f>
        <v>63.363601074257367</v>
      </c>
    </row>
    <row r="52" spans="1:6" ht="13.5" thickBot="1" x14ac:dyDescent="0.25">
      <c r="A52" s="1540" t="s">
        <v>11</v>
      </c>
      <c r="B52" s="312" t="s">
        <v>88</v>
      </c>
      <c r="C52" s="326">
        <f t="shared" ref="C52:E62" si="2">C41+C30+C19+C8</f>
        <v>6754100</v>
      </c>
      <c r="D52" s="318">
        <f t="shared" si="2"/>
        <v>6978409</v>
      </c>
      <c r="E52" s="1293">
        <f t="shared" si="2"/>
        <v>6511854</v>
      </c>
      <c r="F52" s="324">
        <f>E52/D52*100</f>
        <v>93.314307029009044</v>
      </c>
    </row>
    <row r="53" spans="1:6" ht="26.25" thickBot="1" x14ac:dyDescent="0.25">
      <c r="A53" s="1541"/>
      <c r="B53" s="312" t="s">
        <v>101</v>
      </c>
      <c r="C53" s="326">
        <f t="shared" si="2"/>
        <v>1457720</v>
      </c>
      <c r="D53" s="318">
        <f t="shared" si="2"/>
        <v>1562895</v>
      </c>
      <c r="E53" s="1293">
        <f t="shared" si="2"/>
        <v>1401779</v>
      </c>
      <c r="F53" s="324">
        <f t="shared" ref="F53:F62" si="3">E53/D53*100</f>
        <v>89.69118206917291</v>
      </c>
    </row>
    <row r="54" spans="1:6" ht="13.5" thickBot="1" x14ac:dyDescent="0.25">
      <c r="A54" s="1541"/>
      <c r="B54" s="313" t="s">
        <v>90</v>
      </c>
      <c r="C54" s="316">
        <f t="shared" si="2"/>
        <v>4511000</v>
      </c>
      <c r="D54" s="317">
        <f t="shared" si="2"/>
        <v>6195456</v>
      </c>
      <c r="E54" s="828">
        <f t="shared" si="2"/>
        <v>4855121</v>
      </c>
      <c r="F54" s="324">
        <f t="shared" si="3"/>
        <v>78.365837801123917</v>
      </c>
    </row>
    <row r="55" spans="1:6" ht="13.5" thickBot="1" x14ac:dyDescent="0.25">
      <c r="A55" s="1541"/>
      <c r="B55" s="314" t="s">
        <v>102</v>
      </c>
      <c r="C55" s="326">
        <f t="shared" si="2"/>
        <v>0</v>
      </c>
      <c r="D55" s="318">
        <f t="shared" si="2"/>
        <v>0</v>
      </c>
      <c r="E55" s="1293">
        <f t="shared" si="2"/>
        <v>0</v>
      </c>
      <c r="F55" s="325"/>
    </row>
    <row r="56" spans="1:6" ht="26.25" thickBot="1" x14ac:dyDescent="0.25">
      <c r="A56" s="1541"/>
      <c r="B56" s="312" t="s">
        <v>97</v>
      </c>
      <c r="C56" s="326">
        <f t="shared" si="2"/>
        <v>675000</v>
      </c>
      <c r="D56" s="318">
        <f t="shared" si="2"/>
        <v>675000</v>
      </c>
      <c r="E56" s="1293">
        <f t="shared" si="2"/>
        <v>570000</v>
      </c>
      <c r="F56" s="324">
        <f t="shared" si="3"/>
        <v>84.444444444444443</v>
      </c>
    </row>
    <row r="57" spans="1:6" ht="13.5" thickBot="1" x14ac:dyDescent="0.25">
      <c r="A57" s="1541"/>
      <c r="B57" s="315" t="s">
        <v>103</v>
      </c>
      <c r="C57" s="328">
        <f t="shared" si="2"/>
        <v>0</v>
      </c>
      <c r="D57" s="329">
        <f t="shared" si="2"/>
        <v>0</v>
      </c>
      <c r="E57" s="829">
        <f t="shared" si="2"/>
        <v>0</v>
      </c>
      <c r="F57" s="330"/>
    </row>
    <row r="58" spans="1:6" ht="13.5" thickBot="1" x14ac:dyDescent="0.25">
      <c r="A58" s="1541"/>
      <c r="B58" s="312" t="s">
        <v>92</v>
      </c>
      <c r="C58" s="326">
        <f t="shared" si="2"/>
        <v>26000</v>
      </c>
      <c r="D58" s="318">
        <f t="shared" si="2"/>
        <v>0</v>
      </c>
      <c r="E58" s="1293">
        <f t="shared" si="2"/>
        <v>0</v>
      </c>
      <c r="F58" s="324"/>
    </row>
    <row r="59" spans="1:6" ht="13.5" thickBot="1" x14ac:dyDescent="0.25">
      <c r="A59" s="1541"/>
      <c r="B59" s="312" t="s">
        <v>93</v>
      </c>
      <c r="C59" s="326">
        <f t="shared" si="2"/>
        <v>0</v>
      </c>
      <c r="D59" s="318">
        <f t="shared" si="2"/>
        <v>0</v>
      </c>
      <c r="E59" s="1293">
        <f t="shared" si="2"/>
        <v>0</v>
      </c>
      <c r="F59" s="324"/>
    </row>
    <row r="60" spans="1:6" ht="13.5" thickBot="1" x14ac:dyDescent="0.25">
      <c r="A60" s="1541"/>
      <c r="B60" s="315" t="s">
        <v>94</v>
      </c>
      <c r="C60" s="328">
        <f t="shared" si="2"/>
        <v>0</v>
      </c>
      <c r="D60" s="329">
        <f t="shared" si="2"/>
        <v>0</v>
      </c>
      <c r="E60" s="328">
        <f t="shared" si="2"/>
        <v>0</v>
      </c>
      <c r="F60" s="330"/>
    </row>
    <row r="61" spans="1:6" ht="13.5" thickBot="1" x14ac:dyDescent="0.25">
      <c r="A61" s="1541"/>
      <c r="B61" s="312" t="s">
        <v>104</v>
      </c>
      <c r="C61" s="326">
        <f t="shared" si="2"/>
        <v>0</v>
      </c>
      <c r="D61" s="318">
        <f t="shared" si="2"/>
        <v>0</v>
      </c>
      <c r="E61" s="326">
        <f t="shared" si="2"/>
        <v>0</v>
      </c>
      <c r="F61" s="324"/>
    </row>
    <row r="62" spans="1:6" ht="13.5" thickBot="1" x14ac:dyDescent="0.25">
      <c r="A62" s="1542"/>
      <c r="B62" s="327" t="s">
        <v>14</v>
      </c>
      <c r="C62" s="882">
        <f t="shared" si="2"/>
        <v>13423820</v>
      </c>
      <c r="D62" s="318">
        <f t="shared" si="2"/>
        <v>15411760</v>
      </c>
      <c r="E62" s="326">
        <f t="shared" si="2"/>
        <v>13338754</v>
      </c>
      <c r="F62" s="324">
        <f t="shared" si="3"/>
        <v>86.549193602807208</v>
      </c>
    </row>
  </sheetData>
  <mergeCells count="6">
    <mergeCell ref="A52:A62"/>
    <mergeCell ref="A1:F2"/>
    <mergeCell ref="A8:A18"/>
    <mergeCell ref="A19:A29"/>
    <mergeCell ref="A30:A40"/>
    <mergeCell ref="A41:A51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&amp;R2.3. sz. melléklet
......./2019.(V.30.) Egyek Önk.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Q43"/>
  <sheetViews>
    <sheetView topLeftCell="A25" zoomScaleNormal="100" workbookViewId="0">
      <selection activeCell="G29" sqref="G29"/>
    </sheetView>
  </sheetViews>
  <sheetFormatPr defaultRowHeight="12.75" x14ac:dyDescent="0.2"/>
  <cols>
    <col min="1" max="1" width="30.5703125" customWidth="1"/>
    <col min="2" max="2" width="15.28515625" customWidth="1"/>
    <col min="3" max="3" width="17.42578125" customWidth="1"/>
    <col min="4" max="4" width="16" style="352" customWidth="1"/>
    <col min="5" max="5" width="10.5703125" customWidth="1"/>
    <col min="6" max="6" width="14.7109375" bestFit="1" customWidth="1"/>
    <col min="7" max="7" width="15.5703125" customWidth="1"/>
    <col min="8" max="8" width="14.5703125" customWidth="1"/>
    <col min="9" max="9" width="9.42578125" customWidth="1"/>
    <col min="10" max="10" width="14.7109375" bestFit="1" customWidth="1"/>
    <col min="11" max="11" width="15.42578125" customWidth="1"/>
    <col min="12" max="12" width="14.7109375" bestFit="1" customWidth="1"/>
    <col min="13" max="13" width="11.85546875" customWidth="1"/>
    <col min="14" max="14" width="15.85546875" bestFit="1" customWidth="1"/>
    <col min="15" max="15" width="17.5703125" bestFit="1" customWidth="1"/>
    <col min="16" max="16" width="15.85546875" bestFit="1" customWidth="1"/>
    <col min="17" max="17" width="14" bestFit="1" customWidth="1"/>
  </cols>
  <sheetData>
    <row r="1" spans="1:17" ht="7.5" customHeight="1" x14ac:dyDescent="0.2"/>
    <row r="2" spans="1:17" ht="30" customHeight="1" x14ac:dyDescent="0.25">
      <c r="A2" s="1510" t="s">
        <v>556</v>
      </c>
      <c r="B2" s="1510"/>
      <c r="C2" s="1510"/>
      <c r="D2" s="1510"/>
      <c r="E2" s="1510"/>
      <c r="F2" s="1510"/>
      <c r="G2" s="1510"/>
      <c r="H2" s="1510"/>
      <c r="I2" s="1510"/>
      <c r="J2" s="1510"/>
      <c r="K2" s="1510"/>
      <c r="L2" s="1510"/>
      <c r="M2" s="1510"/>
      <c r="N2" s="1510"/>
    </row>
    <row r="3" spans="1:17" ht="18.75" customHeight="1" x14ac:dyDescent="0.25">
      <c r="A3" s="72"/>
      <c r="B3" s="72"/>
      <c r="C3" s="72"/>
      <c r="D3" s="550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7" ht="18.75" customHeight="1" thickBot="1" x14ac:dyDescent="0.3">
      <c r="A4" s="7"/>
      <c r="B4" s="7"/>
      <c r="C4" s="7"/>
      <c r="D4" s="551"/>
      <c r="E4" s="7"/>
      <c r="F4" s="7"/>
      <c r="G4" s="7"/>
      <c r="H4" s="7"/>
      <c r="I4" s="7"/>
      <c r="J4" s="7"/>
      <c r="K4" s="7"/>
      <c r="L4" s="7"/>
      <c r="M4" s="7"/>
      <c r="N4" s="11" t="s">
        <v>460</v>
      </c>
    </row>
    <row r="5" spans="1:17" ht="18.75" customHeight="1" thickBot="1" x14ac:dyDescent="0.25">
      <c r="A5" s="1550" t="s">
        <v>16</v>
      </c>
      <c r="B5" s="1544" t="s">
        <v>146</v>
      </c>
      <c r="C5" s="1545"/>
      <c r="D5" s="1545"/>
      <c r="E5" s="1546"/>
      <c r="F5" s="1544" t="s">
        <v>451</v>
      </c>
      <c r="G5" s="1545"/>
      <c r="H5" s="1545"/>
      <c r="I5" s="1546"/>
      <c r="J5" s="1544" t="s">
        <v>159</v>
      </c>
      <c r="K5" s="1545"/>
      <c r="L5" s="1545"/>
      <c r="M5" s="1546"/>
      <c r="N5" s="1547" t="s">
        <v>17</v>
      </c>
      <c r="O5" s="1548"/>
      <c r="P5" s="1548"/>
      <c r="Q5" s="1549"/>
    </row>
    <row r="6" spans="1:17" ht="35.25" customHeight="1" thickBot="1" x14ac:dyDescent="0.25">
      <c r="A6" s="1551"/>
      <c r="B6" s="227" t="s">
        <v>147</v>
      </c>
      <c r="C6" s="228" t="s">
        <v>158</v>
      </c>
      <c r="D6" s="751" t="s">
        <v>149</v>
      </c>
      <c r="E6" s="228" t="s">
        <v>150</v>
      </c>
      <c r="F6" s="227" t="s">
        <v>147</v>
      </c>
      <c r="G6" s="228" t="s">
        <v>158</v>
      </c>
      <c r="H6" s="228" t="s">
        <v>149</v>
      </c>
      <c r="I6" s="228" t="s">
        <v>150</v>
      </c>
      <c r="J6" s="227" t="s">
        <v>147</v>
      </c>
      <c r="K6" s="228" t="s">
        <v>158</v>
      </c>
      <c r="L6" s="228" t="s">
        <v>149</v>
      </c>
      <c r="M6" s="228" t="s">
        <v>150</v>
      </c>
      <c r="N6" s="227" t="s">
        <v>147</v>
      </c>
      <c r="O6" s="228" t="s">
        <v>158</v>
      </c>
      <c r="P6" s="228" t="s">
        <v>149</v>
      </c>
      <c r="Q6" s="228" t="s">
        <v>150</v>
      </c>
    </row>
    <row r="7" spans="1:17" ht="15" customHeight="1" thickBot="1" x14ac:dyDescent="0.25">
      <c r="A7" s="355" t="s">
        <v>112</v>
      </c>
      <c r="B7" s="67">
        <f>B8+B10</f>
        <v>120227307</v>
      </c>
      <c r="C7" s="67">
        <f>C8+C10</f>
        <v>477119516</v>
      </c>
      <c r="D7" s="552">
        <f>D8+D10</f>
        <v>416078356</v>
      </c>
      <c r="E7" s="67">
        <f t="shared" ref="E7:E12" si="0">D7/C7*100</f>
        <v>87.206316666367513</v>
      </c>
      <c r="F7" s="67">
        <f>F8+F10</f>
        <v>76594301</v>
      </c>
      <c r="G7" s="67">
        <f>G8+G10</f>
        <v>81468365</v>
      </c>
      <c r="H7" s="242">
        <f>H8+H10</f>
        <v>80001423</v>
      </c>
      <c r="I7" s="67">
        <f>H7/G7*100</f>
        <v>98.199372234854593</v>
      </c>
      <c r="J7" s="67">
        <f>J8+J10</f>
        <v>6754100</v>
      </c>
      <c r="K7" s="67">
        <f>K8+K10</f>
        <v>6978409</v>
      </c>
      <c r="L7" s="242">
        <f>L8+L10</f>
        <v>6511854</v>
      </c>
      <c r="M7" s="67">
        <f>L7/K7*100</f>
        <v>93.314307029009044</v>
      </c>
      <c r="N7" s="69">
        <f t="shared" ref="N7:N41" si="1">J7+F7+B7</f>
        <v>203575708</v>
      </c>
      <c r="O7" s="69">
        <f t="shared" ref="O7:P29" si="2">K7+G7+C7</f>
        <v>565566290</v>
      </c>
      <c r="P7" s="69">
        <f t="shared" si="2"/>
        <v>502591633</v>
      </c>
      <c r="Q7" s="69">
        <f t="shared" ref="Q7:Q41" si="3">P7/O7*100</f>
        <v>88.865203228431454</v>
      </c>
    </row>
    <row r="8" spans="1:17" ht="30.6" customHeight="1" thickBot="1" x14ac:dyDescent="0.25">
      <c r="A8" s="356" t="s">
        <v>113</v>
      </c>
      <c r="B8" s="299">
        <v>86046949</v>
      </c>
      <c r="C8" s="48">
        <v>429327043</v>
      </c>
      <c r="D8" s="299">
        <v>368879455</v>
      </c>
      <c r="E8" s="67">
        <f t="shared" si="0"/>
        <v>85.920386571129654</v>
      </c>
      <c r="F8" s="294">
        <v>74756824</v>
      </c>
      <c r="G8" s="63">
        <v>79018817</v>
      </c>
      <c r="H8" s="48">
        <v>77866595</v>
      </c>
      <c r="I8" s="67">
        <f>H8/G8*100</f>
        <v>98.541838458553485</v>
      </c>
      <c r="J8" s="294">
        <v>6239100</v>
      </c>
      <c r="K8" s="63">
        <v>6463409</v>
      </c>
      <c r="L8" s="48">
        <v>5997414</v>
      </c>
      <c r="M8" s="67">
        <f>L8/K8*100</f>
        <v>92.790259753018873</v>
      </c>
      <c r="N8" s="69">
        <f t="shared" si="1"/>
        <v>167042873</v>
      </c>
      <c r="O8" s="69">
        <f t="shared" si="2"/>
        <v>514809269</v>
      </c>
      <c r="P8" s="69">
        <f t="shared" si="2"/>
        <v>452743464</v>
      </c>
      <c r="Q8" s="69">
        <f t="shared" si="3"/>
        <v>87.943922392741541</v>
      </c>
    </row>
    <row r="9" spans="1:17" ht="15" customHeight="1" thickBot="1" x14ac:dyDescent="0.25">
      <c r="A9" s="356" t="s">
        <v>117</v>
      </c>
      <c r="B9" s="247">
        <f>1366743+78015228</f>
        <v>79381971</v>
      </c>
      <c r="C9" s="48">
        <f>65624971+369315391</f>
        <v>434940362</v>
      </c>
      <c r="D9" s="299">
        <f>65624971+307878853</f>
        <v>373503824</v>
      </c>
      <c r="E9" s="67">
        <f t="shared" si="0"/>
        <v>85.874721371570473</v>
      </c>
      <c r="F9" s="294"/>
      <c r="G9" s="63"/>
      <c r="H9" s="48"/>
      <c r="I9" s="67"/>
      <c r="J9" s="294"/>
      <c r="K9" s="63"/>
      <c r="L9" s="48"/>
      <c r="M9" s="67"/>
      <c r="N9" s="69">
        <f t="shared" si="1"/>
        <v>79381971</v>
      </c>
      <c r="O9" s="69">
        <f t="shared" si="2"/>
        <v>434940362</v>
      </c>
      <c r="P9" s="69">
        <f t="shared" si="2"/>
        <v>373503824</v>
      </c>
      <c r="Q9" s="69">
        <f t="shared" si="3"/>
        <v>85.874721371570473</v>
      </c>
    </row>
    <row r="10" spans="1:17" ht="15" customHeight="1" thickBot="1" x14ac:dyDescent="0.25">
      <c r="A10" s="357" t="s">
        <v>114</v>
      </c>
      <c r="B10" s="300">
        <v>34180358</v>
      </c>
      <c r="C10" s="49">
        <v>47792473</v>
      </c>
      <c r="D10" s="300">
        <v>47198901</v>
      </c>
      <c r="E10" s="67">
        <f t="shared" si="0"/>
        <v>98.758022000661057</v>
      </c>
      <c r="F10" s="295">
        <v>1837477</v>
      </c>
      <c r="G10" s="27">
        <v>2449548</v>
      </c>
      <c r="H10" s="49">
        <v>2134828</v>
      </c>
      <c r="I10" s="67">
        <f>H10/G10*100</f>
        <v>87.151915373775083</v>
      </c>
      <c r="J10" s="295">
        <v>515000</v>
      </c>
      <c r="K10" s="27">
        <v>515000</v>
      </c>
      <c r="L10" s="49">
        <v>514440</v>
      </c>
      <c r="M10" s="67">
        <f>L10/K10*100</f>
        <v>99.891262135922332</v>
      </c>
      <c r="N10" s="69">
        <f t="shared" si="1"/>
        <v>36532835</v>
      </c>
      <c r="O10" s="69">
        <f t="shared" si="2"/>
        <v>50757021</v>
      </c>
      <c r="P10" s="69">
        <f t="shared" si="2"/>
        <v>49848169</v>
      </c>
      <c r="Q10" s="69">
        <f t="shared" si="3"/>
        <v>98.209406340060809</v>
      </c>
    </row>
    <row r="11" spans="1:17" ht="27" customHeight="1" thickBot="1" x14ac:dyDescent="0.25">
      <c r="A11" s="358" t="s">
        <v>178</v>
      </c>
      <c r="B11" s="50">
        <v>27770418</v>
      </c>
      <c r="C11" s="50">
        <v>28169125</v>
      </c>
      <c r="D11" s="549">
        <v>28169125</v>
      </c>
      <c r="E11" s="67">
        <f>D11/C11*100</f>
        <v>100</v>
      </c>
      <c r="F11" s="296"/>
      <c r="G11" s="68"/>
      <c r="H11" s="50"/>
      <c r="I11" s="67"/>
      <c r="J11" s="296"/>
      <c r="K11" s="68"/>
      <c r="L11" s="50"/>
      <c r="M11" s="67"/>
      <c r="N11" s="69">
        <f t="shared" si="1"/>
        <v>27770418</v>
      </c>
      <c r="O11" s="69">
        <f t="shared" si="2"/>
        <v>28169125</v>
      </c>
      <c r="P11" s="69">
        <f t="shared" si="2"/>
        <v>28169125</v>
      </c>
      <c r="Q11" s="69">
        <f t="shared" si="3"/>
        <v>100</v>
      </c>
    </row>
    <row r="12" spans="1:17" ht="39" customHeight="1" thickBot="1" x14ac:dyDescent="0.25">
      <c r="A12" s="227" t="s">
        <v>110</v>
      </c>
      <c r="B12" s="69">
        <v>16254995</v>
      </c>
      <c r="C12" s="69">
        <v>60288102</v>
      </c>
      <c r="D12" s="553">
        <v>52198000</v>
      </c>
      <c r="E12" s="67">
        <f t="shared" si="0"/>
        <v>86.580931010234821</v>
      </c>
      <c r="F12" s="297">
        <v>15558133</v>
      </c>
      <c r="G12" s="69">
        <v>16451042</v>
      </c>
      <c r="H12" s="243">
        <v>16172307</v>
      </c>
      <c r="I12" s="67">
        <f>H12/G12*100</f>
        <v>98.305669634786668</v>
      </c>
      <c r="J12" s="67">
        <v>1457720</v>
      </c>
      <c r="K12" s="69">
        <v>1562895</v>
      </c>
      <c r="L12" s="243">
        <v>1401779</v>
      </c>
      <c r="M12" s="67">
        <f>L12/K12*100</f>
        <v>89.69118206917291</v>
      </c>
      <c r="N12" s="69">
        <f t="shared" si="1"/>
        <v>33270848</v>
      </c>
      <c r="O12" s="69">
        <f t="shared" si="2"/>
        <v>78302039</v>
      </c>
      <c r="P12" s="69">
        <f t="shared" si="2"/>
        <v>69772086</v>
      </c>
      <c r="Q12" s="69">
        <f t="shared" si="3"/>
        <v>89.106346260025234</v>
      </c>
    </row>
    <row r="13" spans="1:17" ht="15" customHeight="1" thickBot="1" x14ac:dyDescent="0.25">
      <c r="A13" s="359" t="s">
        <v>90</v>
      </c>
      <c r="B13" s="67">
        <v>130865766</v>
      </c>
      <c r="C13" s="67">
        <v>174156968</v>
      </c>
      <c r="D13" s="552">
        <v>164020227</v>
      </c>
      <c r="E13" s="67">
        <f t="shared" ref="E13:E41" si="4">D13/C13*100</f>
        <v>94.179537507795843</v>
      </c>
      <c r="F13" s="298">
        <v>17806000</v>
      </c>
      <c r="G13" s="67">
        <v>19137267</v>
      </c>
      <c r="H13" s="242">
        <v>13973094</v>
      </c>
      <c r="I13" s="67">
        <f>H13/G13*100</f>
        <v>73.015096669759586</v>
      </c>
      <c r="J13" s="67">
        <v>4511000</v>
      </c>
      <c r="K13" s="69">
        <v>6195456</v>
      </c>
      <c r="L13" s="243">
        <v>4855121</v>
      </c>
      <c r="M13" s="67">
        <f>L13/K13*100</f>
        <v>78.365837801123917</v>
      </c>
      <c r="N13" s="69">
        <f t="shared" si="1"/>
        <v>153182766</v>
      </c>
      <c r="O13" s="69">
        <f t="shared" si="2"/>
        <v>199489691</v>
      </c>
      <c r="P13" s="69">
        <f t="shared" si="2"/>
        <v>182848442</v>
      </c>
      <c r="Q13" s="69">
        <f t="shared" si="3"/>
        <v>91.658090743145209</v>
      </c>
    </row>
    <row r="14" spans="1:17" ht="15" customHeight="1" thickBot="1" x14ac:dyDescent="0.25">
      <c r="A14" s="360" t="s">
        <v>91</v>
      </c>
      <c r="B14" s="133">
        <v>11298000</v>
      </c>
      <c r="C14" s="133">
        <v>17769099</v>
      </c>
      <c r="D14" s="554">
        <v>17717099</v>
      </c>
      <c r="E14" s="67">
        <f t="shared" si="4"/>
        <v>99.707357137241459</v>
      </c>
      <c r="F14" s="70"/>
      <c r="G14" s="70"/>
      <c r="H14" s="244"/>
      <c r="I14" s="67"/>
      <c r="J14" s="70">
        <v>0</v>
      </c>
      <c r="K14" s="226"/>
      <c r="L14" s="246"/>
      <c r="M14" s="67"/>
      <c r="N14" s="69">
        <f t="shared" si="1"/>
        <v>11298000</v>
      </c>
      <c r="O14" s="69">
        <f t="shared" si="2"/>
        <v>17769099</v>
      </c>
      <c r="P14" s="69">
        <f t="shared" si="2"/>
        <v>17717099</v>
      </c>
      <c r="Q14" s="69">
        <f t="shared" si="3"/>
        <v>99.707357137241459</v>
      </c>
    </row>
    <row r="15" spans="1:17" s="25" customFormat="1" ht="29.25" customHeight="1" thickBot="1" x14ac:dyDescent="0.25">
      <c r="A15" s="361" t="s">
        <v>138</v>
      </c>
      <c r="B15" s="143">
        <f>SUM(B16:B36)</f>
        <v>78782952</v>
      </c>
      <c r="C15" s="143">
        <f>SUM(C16:C36)</f>
        <v>96460654</v>
      </c>
      <c r="D15" s="143">
        <f>SUM(D16:D36)</f>
        <v>95165455</v>
      </c>
      <c r="E15" s="67">
        <f t="shared" si="4"/>
        <v>98.657277401415925</v>
      </c>
      <c r="F15" s="143">
        <f>SUM(F16:F36)</f>
        <v>8577499</v>
      </c>
      <c r="G15" s="143">
        <f>SUM(G16:G36)</f>
        <v>8577499</v>
      </c>
      <c r="H15" s="245">
        <f>SUM(H16:H36)</f>
        <v>7398000</v>
      </c>
      <c r="I15" s="67">
        <f>H15/G15*100</f>
        <v>86.248917079442393</v>
      </c>
      <c r="J15" s="143">
        <f>SUM(J16:J36)</f>
        <v>675000</v>
      </c>
      <c r="K15" s="143">
        <f>SUM(K16:K36)</f>
        <v>675000</v>
      </c>
      <c r="L15" s="245">
        <f>SUM(L16:L36)</f>
        <v>570000</v>
      </c>
      <c r="M15" s="67">
        <f>L15/K15*100</f>
        <v>84.444444444444443</v>
      </c>
      <c r="N15" s="69">
        <f t="shared" si="1"/>
        <v>88035451</v>
      </c>
      <c r="O15" s="69">
        <f>K15+G15+C15</f>
        <v>105713153</v>
      </c>
      <c r="P15" s="69">
        <f t="shared" si="2"/>
        <v>103133455</v>
      </c>
      <c r="Q15" s="69">
        <f t="shared" si="3"/>
        <v>97.559718987853856</v>
      </c>
    </row>
    <row r="16" spans="1:17" ht="15" customHeight="1" thickBot="1" x14ac:dyDescent="0.25">
      <c r="A16" s="362" t="s">
        <v>39</v>
      </c>
      <c r="B16" s="1305">
        <v>9676437</v>
      </c>
      <c r="C16" s="1305">
        <v>7654428</v>
      </c>
      <c r="D16" s="1306">
        <v>7654500</v>
      </c>
      <c r="E16" s="67">
        <f t="shared" si="4"/>
        <v>100.00094063201064</v>
      </c>
      <c r="F16" s="137"/>
      <c r="G16" s="223"/>
      <c r="H16" s="223"/>
      <c r="I16" s="67"/>
      <c r="J16" s="138"/>
      <c r="K16" s="138"/>
      <c r="L16" s="223"/>
      <c r="M16" s="67"/>
      <c r="N16" s="69">
        <f t="shared" si="1"/>
        <v>9676437</v>
      </c>
      <c r="O16" s="69">
        <f t="shared" si="2"/>
        <v>7654428</v>
      </c>
      <c r="P16" s="69">
        <f t="shared" si="2"/>
        <v>7654500</v>
      </c>
      <c r="Q16" s="69">
        <f t="shared" si="3"/>
        <v>100.00094063201064</v>
      </c>
    </row>
    <row r="17" spans="1:17" ht="15" customHeight="1" thickBot="1" x14ac:dyDescent="0.25">
      <c r="A17" s="363" t="s">
        <v>20</v>
      </c>
      <c r="B17" s="1307">
        <v>12557000</v>
      </c>
      <c r="C17" s="1307">
        <v>6048445</v>
      </c>
      <c r="D17" s="1308">
        <v>6048373</v>
      </c>
      <c r="E17" s="67">
        <f t="shared" si="4"/>
        <v>99.998809611395984</v>
      </c>
      <c r="F17" s="134">
        <v>995000</v>
      </c>
      <c r="G17" s="224">
        <v>995000</v>
      </c>
      <c r="H17" s="224">
        <v>995000</v>
      </c>
      <c r="I17" s="67">
        <f>H17/G17*100</f>
        <v>100</v>
      </c>
      <c r="J17" s="135"/>
      <c r="K17" s="135"/>
      <c r="L17" s="224"/>
      <c r="M17" s="67"/>
      <c r="N17" s="69">
        <f t="shared" si="1"/>
        <v>13552000</v>
      </c>
      <c r="O17" s="69">
        <f t="shared" si="2"/>
        <v>7043445</v>
      </c>
      <c r="P17" s="69">
        <f t="shared" si="2"/>
        <v>7043373</v>
      </c>
      <c r="Q17" s="69">
        <f t="shared" si="3"/>
        <v>99.998977772950596</v>
      </c>
    </row>
    <row r="18" spans="1:17" s="24" customFormat="1" ht="17.25" customHeight="1" thickBot="1" x14ac:dyDescent="0.25">
      <c r="A18" s="808" t="s">
        <v>35</v>
      </c>
      <c r="B18" s="84">
        <v>36742501</v>
      </c>
      <c r="C18" s="84">
        <v>38098927</v>
      </c>
      <c r="D18" s="809">
        <v>38098927</v>
      </c>
      <c r="E18" s="810">
        <f t="shared" si="4"/>
        <v>100</v>
      </c>
      <c r="F18" s="84">
        <v>7582499</v>
      </c>
      <c r="G18" s="809">
        <v>7582499</v>
      </c>
      <c r="H18" s="809">
        <v>6403000</v>
      </c>
      <c r="I18" s="810">
        <f>H18/G18*100</f>
        <v>84.44445558120087</v>
      </c>
      <c r="J18" s="811">
        <v>675000</v>
      </c>
      <c r="K18" s="811">
        <v>675000</v>
      </c>
      <c r="L18" s="809">
        <v>570000</v>
      </c>
      <c r="M18" s="67">
        <f>L18/K18*100</f>
        <v>84.444444444444443</v>
      </c>
      <c r="N18" s="812">
        <f t="shared" si="1"/>
        <v>45000000</v>
      </c>
      <c r="O18" s="812">
        <f t="shared" si="2"/>
        <v>46356426</v>
      </c>
      <c r="P18" s="812">
        <f t="shared" si="2"/>
        <v>45071927</v>
      </c>
      <c r="Q18" s="812">
        <f t="shared" si="3"/>
        <v>97.229081033986532</v>
      </c>
    </row>
    <row r="19" spans="1:17" s="24" customFormat="1" ht="32.25" customHeight="1" thickBot="1" x14ac:dyDescent="0.25">
      <c r="A19" s="808" t="s">
        <v>573</v>
      </c>
      <c r="B19" s="84"/>
      <c r="C19" s="84">
        <v>1500000</v>
      </c>
      <c r="D19" s="809">
        <v>1500000</v>
      </c>
      <c r="E19" s="810">
        <f t="shared" si="4"/>
        <v>100</v>
      </c>
      <c r="F19" s="84"/>
      <c r="G19" s="809"/>
      <c r="H19" s="809"/>
      <c r="I19" s="810"/>
      <c r="J19" s="811"/>
      <c r="K19" s="811"/>
      <c r="L19" s="809"/>
      <c r="M19" s="67"/>
      <c r="N19" s="812"/>
      <c r="O19" s="812"/>
      <c r="P19" s="812"/>
      <c r="Q19" s="812"/>
    </row>
    <row r="20" spans="1:17" ht="30.75" customHeight="1" thickBot="1" x14ac:dyDescent="0.25">
      <c r="A20" s="363" t="s">
        <v>566</v>
      </c>
      <c r="B20" s="84">
        <v>2660000</v>
      </c>
      <c r="C20" s="84">
        <v>2474474</v>
      </c>
      <c r="D20" s="809">
        <v>2474474</v>
      </c>
      <c r="E20" s="67">
        <f t="shared" si="4"/>
        <v>100</v>
      </c>
      <c r="F20" s="134">
        <v>0</v>
      </c>
      <c r="G20" s="224"/>
      <c r="H20" s="224"/>
      <c r="I20" s="67"/>
      <c r="J20" s="135"/>
      <c r="K20" s="135"/>
      <c r="L20" s="224"/>
      <c r="M20" s="67"/>
      <c r="N20" s="69">
        <f t="shared" si="1"/>
        <v>2660000</v>
      </c>
      <c r="O20" s="69">
        <f t="shared" si="2"/>
        <v>2474474</v>
      </c>
      <c r="P20" s="69">
        <f t="shared" si="2"/>
        <v>2474474</v>
      </c>
      <c r="Q20" s="69">
        <f t="shared" si="3"/>
        <v>100</v>
      </c>
    </row>
    <row r="21" spans="1:17" ht="26.25" thickBot="1" x14ac:dyDescent="0.25">
      <c r="A21" s="363" t="s">
        <v>567</v>
      </c>
      <c r="B21" s="84"/>
      <c r="C21" s="84">
        <v>100000</v>
      </c>
      <c r="D21" s="809">
        <v>100000</v>
      </c>
      <c r="E21" s="67">
        <f t="shared" si="4"/>
        <v>100</v>
      </c>
      <c r="F21" s="134"/>
      <c r="G21" s="224"/>
      <c r="H21" s="224"/>
      <c r="I21" s="67"/>
      <c r="J21" s="135"/>
      <c r="K21" s="135"/>
      <c r="L21" s="224"/>
      <c r="M21" s="67"/>
      <c r="N21" s="69">
        <f t="shared" si="1"/>
        <v>0</v>
      </c>
      <c r="O21" s="69">
        <f t="shared" si="2"/>
        <v>100000</v>
      </c>
      <c r="P21" s="69">
        <f t="shared" si="2"/>
        <v>100000</v>
      </c>
      <c r="Q21" s="69">
        <f t="shared" si="3"/>
        <v>100</v>
      </c>
    </row>
    <row r="22" spans="1:17" ht="36" customHeight="1" thickBot="1" x14ac:dyDescent="0.25">
      <c r="A22" s="363" t="s">
        <v>569</v>
      </c>
      <c r="B22" s="84"/>
      <c r="C22" s="84">
        <v>100000</v>
      </c>
      <c r="D22" s="809">
        <v>100000</v>
      </c>
      <c r="E22" s="67">
        <f t="shared" si="4"/>
        <v>100</v>
      </c>
      <c r="F22" s="134"/>
      <c r="G22" s="224"/>
      <c r="H22" s="224"/>
      <c r="I22" s="67"/>
      <c r="J22" s="135"/>
      <c r="K22" s="135"/>
      <c r="L22" s="224"/>
      <c r="M22" s="67"/>
      <c r="N22" s="69">
        <f t="shared" si="1"/>
        <v>0</v>
      </c>
      <c r="O22" s="69">
        <f t="shared" si="2"/>
        <v>100000</v>
      </c>
      <c r="P22" s="69">
        <f t="shared" ref="P22:P27" si="5">L22+H22+D22</f>
        <v>100000</v>
      </c>
      <c r="Q22" s="69">
        <f t="shared" ref="Q22:Q27" si="6">P22/O22*100</f>
        <v>100</v>
      </c>
    </row>
    <row r="23" spans="1:17" ht="36" customHeight="1" thickBot="1" x14ac:dyDescent="0.25">
      <c r="A23" s="363" t="s">
        <v>570</v>
      </c>
      <c r="B23" s="84"/>
      <c r="C23" s="84">
        <v>105000</v>
      </c>
      <c r="D23" s="809">
        <v>105000</v>
      </c>
      <c r="E23" s="67">
        <f t="shared" si="4"/>
        <v>100</v>
      </c>
      <c r="F23" s="134"/>
      <c r="G23" s="224"/>
      <c r="H23" s="224"/>
      <c r="I23" s="67"/>
      <c r="J23" s="135"/>
      <c r="K23" s="135"/>
      <c r="L23" s="224"/>
      <c r="M23" s="67"/>
      <c r="N23" s="69"/>
      <c r="O23" s="69">
        <f t="shared" si="2"/>
        <v>105000</v>
      </c>
      <c r="P23" s="69">
        <f t="shared" si="5"/>
        <v>105000</v>
      </c>
      <c r="Q23" s="69">
        <f t="shared" si="6"/>
        <v>100</v>
      </c>
    </row>
    <row r="24" spans="1:17" ht="36" customHeight="1" thickBot="1" x14ac:dyDescent="0.25">
      <c r="A24" s="363" t="s">
        <v>571</v>
      </c>
      <c r="B24" s="84"/>
      <c r="C24" s="84">
        <v>500000</v>
      </c>
      <c r="D24" s="809">
        <v>500000</v>
      </c>
      <c r="E24" s="67">
        <f t="shared" si="4"/>
        <v>100</v>
      </c>
      <c r="F24" s="134"/>
      <c r="G24" s="224"/>
      <c r="H24" s="224"/>
      <c r="I24" s="67"/>
      <c r="J24" s="135"/>
      <c r="K24" s="135"/>
      <c r="L24" s="224"/>
      <c r="M24" s="67"/>
      <c r="N24" s="69"/>
      <c r="O24" s="69">
        <f t="shared" si="2"/>
        <v>500000</v>
      </c>
      <c r="P24" s="69">
        <f t="shared" si="5"/>
        <v>500000</v>
      </c>
      <c r="Q24" s="69">
        <f t="shared" si="6"/>
        <v>100</v>
      </c>
    </row>
    <row r="25" spans="1:17" ht="36" customHeight="1" thickBot="1" x14ac:dyDescent="0.25">
      <c r="A25" s="363" t="s">
        <v>572</v>
      </c>
      <c r="B25" s="84"/>
      <c r="C25" s="84">
        <v>800000</v>
      </c>
      <c r="D25" s="809">
        <v>800000</v>
      </c>
      <c r="E25" s="67">
        <f t="shared" si="4"/>
        <v>100</v>
      </c>
      <c r="F25" s="134"/>
      <c r="G25" s="224"/>
      <c r="H25" s="224"/>
      <c r="I25" s="67"/>
      <c r="J25" s="135"/>
      <c r="K25" s="135"/>
      <c r="L25" s="224"/>
      <c r="M25" s="67"/>
      <c r="N25" s="69"/>
      <c r="O25" s="69">
        <f t="shared" si="2"/>
        <v>800000</v>
      </c>
      <c r="P25" s="69">
        <f t="shared" si="5"/>
        <v>800000</v>
      </c>
      <c r="Q25" s="69">
        <f t="shared" si="6"/>
        <v>100</v>
      </c>
    </row>
    <row r="26" spans="1:17" ht="44.25" customHeight="1" thickBot="1" x14ac:dyDescent="0.25">
      <c r="A26" s="808" t="s">
        <v>563</v>
      </c>
      <c r="B26" s="84">
        <v>60000</v>
      </c>
      <c r="C26" s="84">
        <v>60000</v>
      </c>
      <c r="D26" s="809">
        <v>60000</v>
      </c>
      <c r="E26" s="67">
        <f t="shared" si="4"/>
        <v>100</v>
      </c>
      <c r="F26" s="134"/>
      <c r="G26" s="224"/>
      <c r="H26" s="224"/>
      <c r="I26" s="67"/>
      <c r="J26" s="135"/>
      <c r="K26" s="135"/>
      <c r="L26" s="224"/>
      <c r="M26" s="67"/>
      <c r="N26" s="69">
        <f t="shared" si="1"/>
        <v>60000</v>
      </c>
      <c r="O26" s="69">
        <f t="shared" si="2"/>
        <v>60000</v>
      </c>
      <c r="P26" s="69">
        <f t="shared" si="5"/>
        <v>60000</v>
      </c>
      <c r="Q26" s="69">
        <f t="shared" si="6"/>
        <v>100</v>
      </c>
    </row>
    <row r="27" spans="1:17" ht="29.25" customHeight="1" thickBot="1" x14ac:dyDescent="0.25">
      <c r="A27" s="363" t="s">
        <v>498</v>
      </c>
      <c r="B27" s="84"/>
      <c r="C27" s="84">
        <v>39000</v>
      </c>
      <c r="D27" s="809">
        <v>39000</v>
      </c>
      <c r="E27" s="67">
        <f t="shared" si="4"/>
        <v>100</v>
      </c>
      <c r="F27" s="134"/>
      <c r="G27" s="224"/>
      <c r="H27" s="224"/>
      <c r="I27" s="67"/>
      <c r="J27" s="135"/>
      <c r="K27" s="135"/>
      <c r="L27" s="224"/>
      <c r="M27" s="67"/>
      <c r="N27" s="69">
        <f t="shared" si="1"/>
        <v>0</v>
      </c>
      <c r="O27" s="69">
        <f t="shared" si="2"/>
        <v>39000</v>
      </c>
      <c r="P27" s="69">
        <f t="shared" si="5"/>
        <v>39000</v>
      </c>
      <c r="Q27" s="69">
        <f t="shared" si="6"/>
        <v>100</v>
      </c>
    </row>
    <row r="28" spans="1:17" ht="15" customHeight="1" thickBot="1" x14ac:dyDescent="0.25">
      <c r="A28" s="363" t="s">
        <v>40</v>
      </c>
      <c r="B28" s="84">
        <v>10515654</v>
      </c>
      <c r="C28" s="84">
        <v>10515654</v>
      </c>
      <c r="D28" s="809">
        <v>10515654</v>
      </c>
      <c r="E28" s="67">
        <f t="shared" si="4"/>
        <v>100</v>
      </c>
      <c r="F28" s="134">
        <v>0</v>
      </c>
      <c r="G28" s="224"/>
      <c r="H28" s="224"/>
      <c r="I28" s="67"/>
      <c r="J28" s="135"/>
      <c r="K28" s="135"/>
      <c r="L28" s="224"/>
      <c r="M28" s="67"/>
      <c r="N28" s="69">
        <f t="shared" si="1"/>
        <v>10515654</v>
      </c>
      <c r="O28" s="69">
        <f t="shared" si="2"/>
        <v>10515654</v>
      </c>
      <c r="P28" s="69">
        <f t="shared" si="2"/>
        <v>10515654</v>
      </c>
      <c r="Q28" s="69">
        <f t="shared" si="3"/>
        <v>100</v>
      </c>
    </row>
    <row r="29" spans="1:17" ht="13.5" thickBot="1" x14ac:dyDescent="0.25">
      <c r="A29" s="363" t="s">
        <v>461</v>
      </c>
      <c r="B29" s="84">
        <v>84360</v>
      </c>
      <c r="C29" s="84">
        <v>84360</v>
      </c>
      <c r="D29" s="809">
        <v>84360</v>
      </c>
      <c r="E29" s="67">
        <f t="shared" si="4"/>
        <v>100</v>
      </c>
      <c r="F29" s="134"/>
      <c r="G29" s="224"/>
      <c r="H29" s="224"/>
      <c r="I29" s="67"/>
      <c r="J29" s="135"/>
      <c r="K29" s="135"/>
      <c r="L29" s="224"/>
      <c r="M29" s="67"/>
      <c r="N29" s="69">
        <f t="shared" si="1"/>
        <v>84360</v>
      </c>
      <c r="O29" s="69">
        <f t="shared" si="2"/>
        <v>84360</v>
      </c>
      <c r="P29" s="69">
        <f t="shared" si="2"/>
        <v>84360</v>
      </c>
      <c r="Q29" s="69">
        <f t="shared" si="3"/>
        <v>100</v>
      </c>
    </row>
    <row r="30" spans="1:17" ht="18" customHeight="1" thickBot="1" x14ac:dyDescent="0.25">
      <c r="A30" s="363" t="s">
        <v>119</v>
      </c>
      <c r="B30" s="84">
        <v>400000</v>
      </c>
      <c r="C30" s="84">
        <v>400000</v>
      </c>
      <c r="D30" s="809">
        <v>0</v>
      </c>
      <c r="E30" s="67">
        <f t="shared" si="4"/>
        <v>0</v>
      </c>
      <c r="F30" s="134">
        <v>0</v>
      </c>
      <c r="G30" s="224"/>
      <c r="H30" s="224"/>
      <c r="I30" s="67"/>
      <c r="J30" s="135"/>
      <c r="K30" s="135"/>
      <c r="L30" s="224"/>
      <c r="M30" s="67"/>
      <c r="N30" s="69">
        <f t="shared" si="1"/>
        <v>400000</v>
      </c>
      <c r="O30" s="69">
        <f t="shared" ref="O30:P30" si="7">K30+G30+C30</f>
        <v>400000</v>
      </c>
      <c r="P30" s="69">
        <f t="shared" si="7"/>
        <v>0</v>
      </c>
      <c r="Q30" s="69">
        <f t="shared" si="3"/>
        <v>0</v>
      </c>
    </row>
    <row r="31" spans="1:17" ht="36.75" customHeight="1" thickBot="1" x14ac:dyDescent="0.25">
      <c r="A31" s="363" t="s">
        <v>568</v>
      </c>
      <c r="B31" s="84">
        <v>0</v>
      </c>
      <c r="C31" s="84">
        <v>3000000</v>
      </c>
      <c r="D31" s="809">
        <v>3000000</v>
      </c>
      <c r="E31" s="67">
        <f t="shared" si="4"/>
        <v>100</v>
      </c>
      <c r="F31" s="134"/>
      <c r="G31" s="224"/>
      <c r="H31" s="224"/>
      <c r="I31" s="67"/>
      <c r="J31" s="135"/>
      <c r="K31" s="135"/>
      <c r="L31" s="224"/>
      <c r="M31" s="67"/>
      <c r="N31" s="69">
        <f t="shared" ref="N31:N35" si="8">J31+F31+B31</f>
        <v>0</v>
      </c>
      <c r="O31" s="69">
        <f t="shared" ref="O31:O35" si="9">K31+G31+C31</f>
        <v>3000000</v>
      </c>
      <c r="P31" s="69">
        <f t="shared" ref="P31:P35" si="10">L31+H31+D31</f>
        <v>3000000</v>
      </c>
      <c r="Q31" s="69">
        <f t="shared" ref="Q31:Q35" si="11">P31/O31*100</f>
        <v>100</v>
      </c>
    </row>
    <row r="32" spans="1:17" ht="27" customHeight="1" thickBot="1" x14ac:dyDescent="0.25">
      <c r="A32" s="363" t="s">
        <v>565</v>
      </c>
      <c r="B32" s="215">
        <v>0</v>
      </c>
      <c r="C32" s="215">
        <v>8900000</v>
      </c>
      <c r="D32" s="816">
        <v>8900000</v>
      </c>
      <c r="E32" s="67">
        <f t="shared" si="4"/>
        <v>100</v>
      </c>
      <c r="F32" s="134"/>
      <c r="G32" s="224"/>
      <c r="H32" s="224"/>
      <c r="I32" s="67"/>
      <c r="J32" s="135"/>
      <c r="K32" s="135"/>
      <c r="L32" s="224"/>
      <c r="M32" s="67"/>
      <c r="N32" s="69">
        <f t="shared" si="8"/>
        <v>0</v>
      </c>
      <c r="O32" s="69">
        <f t="shared" si="9"/>
        <v>8900000</v>
      </c>
      <c r="P32" s="69">
        <f t="shared" si="10"/>
        <v>8900000</v>
      </c>
      <c r="Q32" s="69">
        <f t="shared" si="11"/>
        <v>100</v>
      </c>
    </row>
    <row r="33" spans="1:17" ht="18" customHeight="1" thickBot="1" x14ac:dyDescent="0.25">
      <c r="A33" s="363" t="s">
        <v>574</v>
      </c>
      <c r="B33" s="84"/>
      <c r="C33" s="84">
        <v>6509709</v>
      </c>
      <c r="D33" s="809">
        <v>5614510</v>
      </c>
      <c r="E33" s="67">
        <f t="shared" si="4"/>
        <v>86.248248577624594</v>
      </c>
      <c r="F33" s="134"/>
      <c r="G33" s="224"/>
      <c r="H33" s="224"/>
      <c r="I33" s="67"/>
      <c r="J33" s="135"/>
      <c r="K33" s="135"/>
      <c r="L33" s="224"/>
      <c r="M33" s="67"/>
      <c r="N33" s="69">
        <f t="shared" si="8"/>
        <v>0</v>
      </c>
      <c r="O33" s="69">
        <f t="shared" si="9"/>
        <v>6509709</v>
      </c>
      <c r="P33" s="69">
        <f t="shared" si="10"/>
        <v>5614510</v>
      </c>
      <c r="Q33" s="69">
        <f t="shared" si="11"/>
        <v>86.248248577624594</v>
      </c>
    </row>
    <row r="34" spans="1:17" ht="25.9" customHeight="1" thickBot="1" x14ac:dyDescent="0.25">
      <c r="A34" s="364" t="s">
        <v>144</v>
      </c>
      <c r="B34" s="84">
        <v>500000</v>
      </c>
      <c r="C34" s="84"/>
      <c r="D34" s="809"/>
      <c r="E34" s="67"/>
      <c r="F34" s="134"/>
      <c r="G34" s="224"/>
      <c r="H34" s="224"/>
      <c r="I34" s="67"/>
      <c r="J34" s="135"/>
      <c r="K34" s="135"/>
      <c r="L34" s="224"/>
      <c r="M34" s="67"/>
      <c r="N34" s="69">
        <f t="shared" si="8"/>
        <v>500000</v>
      </c>
      <c r="O34" s="69">
        <f t="shared" si="9"/>
        <v>0</v>
      </c>
      <c r="P34" s="69">
        <f t="shared" si="10"/>
        <v>0</v>
      </c>
      <c r="Q34" s="69"/>
    </row>
    <row r="35" spans="1:17" ht="29.25" customHeight="1" thickBot="1" x14ac:dyDescent="0.25">
      <c r="A35" s="363" t="s">
        <v>564</v>
      </c>
      <c r="B35" s="84">
        <v>4387000</v>
      </c>
      <c r="C35" s="84">
        <v>8370657</v>
      </c>
      <c r="D35" s="809">
        <v>8370657</v>
      </c>
      <c r="E35" s="67">
        <f t="shared" si="4"/>
        <v>100</v>
      </c>
      <c r="F35" s="134">
        <v>0</v>
      </c>
      <c r="G35" s="224"/>
      <c r="H35" s="224"/>
      <c r="I35" s="67"/>
      <c r="J35" s="135"/>
      <c r="K35" s="135"/>
      <c r="L35" s="224"/>
      <c r="M35" s="67"/>
      <c r="N35" s="69">
        <f t="shared" si="8"/>
        <v>4387000</v>
      </c>
      <c r="O35" s="69">
        <f t="shared" si="9"/>
        <v>8370657</v>
      </c>
      <c r="P35" s="69">
        <f t="shared" si="10"/>
        <v>8370657</v>
      </c>
      <c r="Q35" s="69">
        <f t="shared" si="11"/>
        <v>100</v>
      </c>
    </row>
    <row r="36" spans="1:17" ht="15" customHeight="1" thickBot="1" x14ac:dyDescent="0.25">
      <c r="A36" s="366" t="s">
        <v>118</v>
      </c>
      <c r="B36" s="215">
        <v>1200000</v>
      </c>
      <c r="C36" s="215">
        <v>1200000</v>
      </c>
      <c r="D36" s="816">
        <v>1200000</v>
      </c>
      <c r="E36" s="67">
        <f t="shared" si="4"/>
        <v>100</v>
      </c>
      <c r="F36" s="367">
        <v>0</v>
      </c>
      <c r="G36" s="368"/>
      <c r="H36" s="368"/>
      <c r="I36" s="67"/>
      <c r="J36" s="136"/>
      <c r="K36" s="136"/>
      <c r="L36" s="225"/>
      <c r="M36" s="67"/>
      <c r="N36" s="69">
        <f t="shared" si="1"/>
        <v>1200000</v>
      </c>
      <c r="O36" s="69">
        <f t="shared" ref="O36:O40" si="12">K36+G36+C36</f>
        <v>1200000</v>
      </c>
      <c r="P36" s="69">
        <f t="shared" ref="P36:P41" si="13">L36+H36+D36</f>
        <v>1200000</v>
      </c>
      <c r="Q36" s="69">
        <f t="shared" si="3"/>
        <v>100</v>
      </c>
    </row>
    <row r="37" spans="1:17" s="25" customFormat="1" ht="15" customHeight="1" thickBot="1" x14ac:dyDescent="0.25">
      <c r="A37" s="369" t="s">
        <v>177</v>
      </c>
      <c r="B37" s="817">
        <v>4000000</v>
      </c>
      <c r="C37" s="817">
        <v>0</v>
      </c>
      <c r="D37" s="821">
        <v>0</v>
      </c>
      <c r="E37" s="243"/>
      <c r="F37" s="372"/>
      <c r="G37" s="370"/>
      <c r="H37" s="371"/>
      <c r="I37" s="69"/>
      <c r="J37" s="373"/>
      <c r="K37" s="373"/>
      <c r="L37" s="374"/>
      <c r="M37" s="67"/>
      <c r="N37" s="69">
        <f t="shared" si="1"/>
        <v>4000000</v>
      </c>
      <c r="O37" s="69">
        <f t="shared" si="12"/>
        <v>0</v>
      </c>
      <c r="P37" s="69">
        <f t="shared" si="13"/>
        <v>0</v>
      </c>
      <c r="Q37" s="69"/>
    </row>
    <row r="38" spans="1:17" s="25" customFormat="1" ht="15" customHeight="1" thickBot="1" x14ac:dyDescent="0.25">
      <c r="A38" s="359" t="s">
        <v>116</v>
      </c>
      <c r="B38" s="818">
        <f>SUM(B39:B40)</f>
        <v>143962134</v>
      </c>
      <c r="C38" s="818">
        <f>SUM(C39:C40)</f>
        <v>156144225</v>
      </c>
      <c r="D38" s="818">
        <f>SUM(D39:D40)</f>
        <v>147519861</v>
      </c>
      <c r="E38" s="67">
        <f t="shared" si="4"/>
        <v>94.476667965145694</v>
      </c>
      <c r="F38" s="144">
        <f>SUM(F39:F40)</f>
        <v>0</v>
      </c>
      <c r="G38" s="144">
        <f>SUM(G39:G40)</f>
        <v>0</v>
      </c>
      <c r="H38" s="144">
        <f>SUM(H39:H40)</f>
        <v>0</v>
      </c>
      <c r="I38" s="67"/>
      <c r="J38" s="145">
        <f>SUM(J39:J40)</f>
        <v>0</v>
      </c>
      <c r="K38" s="822">
        <f>SUM(K39:K40)</f>
        <v>0</v>
      </c>
      <c r="L38" s="823">
        <f>SUM(L39:L40)</f>
        <v>0</v>
      </c>
      <c r="M38" s="67"/>
      <c r="N38" s="69">
        <f t="shared" si="1"/>
        <v>143962134</v>
      </c>
      <c r="O38" s="69">
        <f t="shared" si="12"/>
        <v>156144225</v>
      </c>
      <c r="P38" s="69">
        <f t="shared" si="13"/>
        <v>147519861</v>
      </c>
      <c r="Q38" s="69">
        <f t="shared" si="3"/>
        <v>94.476667965145694</v>
      </c>
    </row>
    <row r="39" spans="1:17" ht="36.6" customHeight="1" thickBot="1" x14ac:dyDescent="0.25">
      <c r="A39" s="813" t="s">
        <v>419</v>
      </c>
      <c r="B39" s="819">
        <v>11049981</v>
      </c>
      <c r="C39" s="819">
        <v>19607382</v>
      </c>
      <c r="D39" s="819">
        <v>19607292</v>
      </c>
      <c r="E39" s="67">
        <f t="shared" si="4"/>
        <v>99.999540989204988</v>
      </c>
      <c r="F39" s="815"/>
      <c r="G39" s="815"/>
      <c r="H39" s="814"/>
      <c r="I39" s="67"/>
      <c r="J39" s="819"/>
      <c r="K39" s="824"/>
      <c r="L39" s="824"/>
      <c r="M39" s="69"/>
      <c r="N39" s="69">
        <f t="shared" si="1"/>
        <v>11049981</v>
      </c>
      <c r="O39" s="69">
        <f t="shared" si="12"/>
        <v>19607382</v>
      </c>
      <c r="P39" s="69">
        <f t="shared" si="13"/>
        <v>19607292</v>
      </c>
      <c r="Q39" s="69">
        <f t="shared" si="3"/>
        <v>99.999540989204988</v>
      </c>
    </row>
    <row r="40" spans="1:17" ht="30" customHeight="1" thickBot="1" x14ac:dyDescent="0.25">
      <c r="A40" s="365" t="s">
        <v>115</v>
      </c>
      <c r="B40" s="820">
        <v>132912153</v>
      </c>
      <c r="C40" s="820">
        <v>136536843</v>
      </c>
      <c r="D40" s="820">
        <v>127912569</v>
      </c>
      <c r="E40" s="67">
        <f t="shared" si="4"/>
        <v>93.68355543419149</v>
      </c>
      <c r="F40" s="131">
        <v>0</v>
      </c>
      <c r="G40" s="131"/>
      <c r="H40" s="130"/>
      <c r="I40" s="67"/>
      <c r="J40" s="820"/>
      <c r="K40" s="132"/>
      <c r="L40" s="132"/>
      <c r="M40" s="69"/>
      <c r="N40" s="69">
        <f t="shared" si="1"/>
        <v>132912153</v>
      </c>
      <c r="O40" s="69">
        <f t="shared" si="12"/>
        <v>136536843</v>
      </c>
      <c r="P40" s="69">
        <f t="shared" si="13"/>
        <v>127912569</v>
      </c>
      <c r="Q40" s="69">
        <f t="shared" si="3"/>
        <v>93.68355543419149</v>
      </c>
    </row>
    <row r="41" spans="1:17" ht="13.5" thickBot="1" x14ac:dyDescent="0.25">
      <c r="A41" s="355" t="s">
        <v>18</v>
      </c>
      <c r="B41" s="67">
        <f>B7+B12+B13+B14+B15+B38+B37</f>
        <v>505391154</v>
      </c>
      <c r="C41" s="67">
        <f>C7+C12+C13+C14+C15+C38+C37</f>
        <v>981938564</v>
      </c>
      <c r="D41" s="298">
        <f>D7+D12+D13+D14+D15+D38+D37</f>
        <v>892698998</v>
      </c>
      <c r="E41" s="67">
        <f t="shared" si="4"/>
        <v>90.911899249941257</v>
      </c>
      <c r="F41" s="67">
        <f>F7+F12+F13+F14+F15+F38</f>
        <v>118535933</v>
      </c>
      <c r="G41" s="67">
        <f>G7+G12+G13+G14+G15+G38</f>
        <v>125634173</v>
      </c>
      <c r="H41" s="242">
        <f>H7+H12+H13+H14+H15+H38</f>
        <v>117544824</v>
      </c>
      <c r="I41" s="67">
        <f>H41/G41*100</f>
        <v>93.561187368981209</v>
      </c>
      <c r="J41" s="67">
        <f>J7+J12+J13+J14+J15+J38</f>
        <v>13397820</v>
      </c>
      <c r="K41" s="145">
        <f>K7+K12+K13+K14+K15+K38</f>
        <v>15411760</v>
      </c>
      <c r="L41" s="144">
        <f>L7+L12+L13+L14+L15+L38</f>
        <v>13338754</v>
      </c>
      <c r="M41" s="67">
        <f>L41/K41*100</f>
        <v>86.549193602807208</v>
      </c>
      <c r="N41" s="69">
        <f t="shared" si="1"/>
        <v>637324907</v>
      </c>
      <c r="O41" s="69">
        <f>K41+G41+C41</f>
        <v>1122984497</v>
      </c>
      <c r="P41" s="69">
        <f t="shared" si="13"/>
        <v>1023582576</v>
      </c>
      <c r="Q41" s="69">
        <f t="shared" si="3"/>
        <v>91.148415560005731</v>
      </c>
    </row>
    <row r="42" spans="1:17" x14ac:dyDescent="0.2">
      <c r="B42" s="73"/>
      <c r="C42" s="73"/>
      <c r="D42" s="354"/>
      <c r="E42" s="73"/>
      <c r="F42" s="2"/>
      <c r="G42" s="2"/>
      <c r="H42" s="2"/>
      <c r="I42" s="2"/>
    </row>
    <row r="43" spans="1:17" x14ac:dyDescent="0.2">
      <c r="B43" s="31"/>
      <c r="C43" s="31"/>
      <c r="D43" s="353"/>
      <c r="E43" s="31"/>
      <c r="F43" s="31"/>
      <c r="G43" s="31"/>
      <c r="H43" s="31"/>
      <c r="I43" s="31"/>
    </row>
  </sheetData>
  <mergeCells count="6">
    <mergeCell ref="B5:E5"/>
    <mergeCell ref="F5:I5"/>
    <mergeCell ref="J5:M5"/>
    <mergeCell ref="N5:Q5"/>
    <mergeCell ref="A2:N2"/>
    <mergeCell ref="A5:A6"/>
  </mergeCells>
  <phoneticPr fontId="6" type="noConversion"/>
  <pageMargins left="0.78740157480314965" right="0.78740157480314965" top="0.39370078740157483" bottom="0.78740157480314965" header="0.51181102362204722" footer="0.51181102362204722"/>
  <pageSetup paperSize="9" scale="48" orientation="landscape" r:id="rId1"/>
  <headerFooter alignWithMargins="0">
    <oddHeader>&amp;R3.sz melléklet
....../2019.(V.30.) Egyek Önk.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40" zoomScale="110" zoomScaleNormal="110" zoomScaleSheetLayoutView="80" workbookViewId="0">
      <selection activeCell="F38" sqref="F38"/>
    </sheetView>
  </sheetViews>
  <sheetFormatPr defaultRowHeight="12.75" x14ac:dyDescent="0.2"/>
  <cols>
    <col min="1" max="1" width="8.7109375" customWidth="1"/>
    <col min="2" max="2" width="75.42578125" style="24" customWidth="1"/>
    <col min="3" max="3" width="21" style="1080" customWidth="1"/>
    <col min="4" max="4" width="22" style="591" customWidth="1"/>
    <col min="5" max="5" width="21.28515625" style="1081" customWidth="1"/>
    <col min="6" max="6" width="19.85546875" style="24" customWidth="1"/>
    <col min="7" max="7" width="16" style="24" customWidth="1"/>
    <col min="8" max="8" width="13.7109375" bestFit="1" customWidth="1"/>
  </cols>
  <sheetData>
    <row r="1" spans="1:8" ht="15.75" x14ac:dyDescent="0.25">
      <c r="A1" s="1552" t="s">
        <v>42</v>
      </c>
      <c r="B1" s="1553"/>
      <c r="C1" s="1553"/>
      <c r="D1" s="1553"/>
      <c r="E1" s="1553"/>
      <c r="F1" s="1553"/>
      <c r="G1" s="1553"/>
      <c r="H1" s="21"/>
    </row>
    <row r="2" spans="1:8" ht="15" x14ac:dyDescent="0.25">
      <c r="A2" s="1018"/>
      <c r="B2" s="752"/>
      <c r="C2" s="753"/>
      <c r="D2" s="752"/>
      <c r="E2" s="752"/>
      <c r="F2" s="752"/>
      <c r="G2" s="752"/>
      <c r="H2" s="21"/>
    </row>
    <row r="3" spans="1:8" ht="15" x14ac:dyDescent="0.25">
      <c r="A3" s="1018"/>
      <c r="B3" s="752"/>
      <c r="C3" s="1375" t="s">
        <v>605</v>
      </c>
      <c r="D3" s="752"/>
      <c r="E3" s="752"/>
      <c r="F3" s="752"/>
      <c r="G3" s="752"/>
      <c r="H3" s="21"/>
    </row>
    <row r="4" spans="1:8" ht="13.5" customHeight="1" thickBot="1" x14ac:dyDescent="0.25">
      <c r="A4" s="1554"/>
      <c r="B4" s="1554"/>
      <c r="C4" s="1554"/>
      <c r="D4" s="1554"/>
      <c r="E4" s="1554"/>
      <c r="F4" s="1554"/>
      <c r="G4" s="1554"/>
      <c r="H4" s="21"/>
    </row>
    <row r="5" spans="1:8" ht="13.5" customHeight="1" x14ac:dyDescent="0.2">
      <c r="A5" s="1555" t="s">
        <v>21</v>
      </c>
      <c r="B5" s="1557" t="s">
        <v>22</v>
      </c>
      <c r="C5" s="1559" t="s">
        <v>603</v>
      </c>
      <c r="D5" s="1561" t="s">
        <v>604</v>
      </c>
      <c r="E5" s="1561"/>
      <c r="F5" s="1561"/>
      <c r="G5" s="1562" t="s">
        <v>150</v>
      </c>
      <c r="H5" s="21"/>
    </row>
    <row r="6" spans="1:8" ht="15.75" thickBot="1" x14ac:dyDescent="0.25">
      <c r="A6" s="1556"/>
      <c r="B6" s="1558"/>
      <c r="C6" s="1560"/>
      <c r="D6" s="1020" t="s">
        <v>156</v>
      </c>
      <c r="E6" s="1022" t="s">
        <v>158</v>
      </c>
      <c r="F6" s="1020" t="s">
        <v>149</v>
      </c>
      <c r="G6" s="1563"/>
      <c r="H6" s="21"/>
    </row>
    <row r="7" spans="1:8" ht="15.75" thickBot="1" x14ac:dyDescent="0.25">
      <c r="A7" s="935">
        <v>1</v>
      </c>
      <c r="B7" s="936">
        <v>2</v>
      </c>
      <c r="C7" s="937">
        <v>3</v>
      </c>
      <c r="D7" s="938">
        <v>4</v>
      </c>
      <c r="E7" s="1023">
        <v>5</v>
      </c>
      <c r="F7" s="934">
        <v>6</v>
      </c>
      <c r="G7" s="934">
        <v>7</v>
      </c>
      <c r="H7" s="21"/>
    </row>
    <row r="8" spans="1:8" ht="15.75" thickBot="1" x14ac:dyDescent="0.25">
      <c r="A8" s="754" t="s">
        <v>0</v>
      </c>
      <c r="B8" s="754" t="s">
        <v>52</v>
      </c>
      <c r="C8" s="1024">
        <f>C9+C16</f>
        <v>792637084</v>
      </c>
      <c r="D8" s="1025">
        <f>D9+D16+D15</f>
        <v>345067702</v>
      </c>
      <c r="E8" s="1025">
        <f>E9+E16</f>
        <v>767951665</v>
      </c>
      <c r="F8" s="1025">
        <f>F9+F16</f>
        <v>737642662</v>
      </c>
      <c r="G8" s="1025">
        <f t="shared" ref="G8:G38" si="0">F8/E8*100</f>
        <v>96.05326684199585</v>
      </c>
      <c r="H8" s="21"/>
    </row>
    <row r="9" spans="1:8" s="26" customFormat="1" ht="15.75" thickBot="1" x14ac:dyDescent="0.25">
      <c r="A9" s="754" t="s">
        <v>4</v>
      </c>
      <c r="B9" s="756" t="s">
        <v>56</v>
      </c>
      <c r="C9" s="1026">
        <f>SUM(C10:C14)</f>
        <v>291957691</v>
      </c>
      <c r="D9" s="1026">
        <f>D10+D11+D12+D13</f>
        <v>341295150</v>
      </c>
      <c r="E9" s="1026">
        <f>E10+E11+E12+E13+E14</f>
        <v>287237387</v>
      </c>
      <c r="F9" s="1026">
        <f>F10+F11+F12+F13+F14</f>
        <v>287237387</v>
      </c>
      <c r="G9" s="1371">
        <f t="shared" si="0"/>
        <v>100</v>
      </c>
      <c r="H9" s="755"/>
    </row>
    <row r="10" spans="1:8" ht="15.75" thickBot="1" x14ac:dyDescent="0.25">
      <c r="A10" s="754" t="s">
        <v>8</v>
      </c>
      <c r="B10" s="757" t="s">
        <v>120</v>
      </c>
      <c r="C10" s="1028">
        <v>165623912</v>
      </c>
      <c r="D10" s="1027">
        <v>177172373</v>
      </c>
      <c r="E10" s="1027">
        <v>177236427</v>
      </c>
      <c r="F10" s="1028">
        <v>177236427</v>
      </c>
      <c r="G10" s="1371">
        <f t="shared" si="0"/>
        <v>100</v>
      </c>
      <c r="H10" s="21"/>
    </row>
    <row r="11" spans="1:8" ht="15.75" thickBot="1" x14ac:dyDescent="0.25">
      <c r="A11" s="754" t="s">
        <v>2</v>
      </c>
      <c r="B11" s="758" t="s">
        <v>121</v>
      </c>
      <c r="C11" s="1031">
        <v>90657831</v>
      </c>
      <c r="D11" s="1029">
        <v>92535070</v>
      </c>
      <c r="E11" s="1029">
        <v>91948773</v>
      </c>
      <c r="F11" s="1031">
        <v>91948773</v>
      </c>
      <c r="G11" s="1371">
        <f t="shared" si="0"/>
        <v>100</v>
      </c>
      <c r="H11" s="21"/>
    </row>
    <row r="12" spans="1:8" ht="15.75" thickBot="1" x14ac:dyDescent="0.25">
      <c r="A12" s="754" t="s">
        <v>5</v>
      </c>
      <c r="B12" s="758" t="s">
        <v>122</v>
      </c>
      <c r="C12" s="1031">
        <v>6877210</v>
      </c>
      <c r="D12" s="1029">
        <v>6592080</v>
      </c>
      <c r="E12" s="1029">
        <v>7230155</v>
      </c>
      <c r="F12" s="1031">
        <v>7230155</v>
      </c>
      <c r="G12" s="1371">
        <f t="shared" si="0"/>
        <v>100</v>
      </c>
      <c r="H12" s="21"/>
    </row>
    <row r="13" spans="1:8" ht="31.5" customHeight="1" thickBot="1" x14ac:dyDescent="0.25">
      <c r="A13" s="754" t="s">
        <v>9</v>
      </c>
      <c r="B13" s="758" t="s">
        <v>420</v>
      </c>
      <c r="C13" s="1031">
        <v>28753278</v>
      </c>
      <c r="D13" s="1029">
        <v>64995627</v>
      </c>
      <c r="E13" s="1029">
        <v>10822032</v>
      </c>
      <c r="F13" s="1031">
        <v>10822032</v>
      </c>
      <c r="G13" s="1371">
        <f t="shared" si="0"/>
        <v>100</v>
      </c>
      <c r="H13" s="21"/>
    </row>
    <row r="14" spans="1:8" ht="15.75" thickBot="1" x14ac:dyDescent="0.25">
      <c r="A14" s="754"/>
      <c r="B14" s="758" t="s">
        <v>474</v>
      </c>
      <c r="C14" s="1031">
        <v>45460</v>
      </c>
      <c r="D14" s="1029"/>
      <c r="E14" s="1029"/>
      <c r="F14" s="1031"/>
      <c r="G14" s="1371"/>
      <c r="H14" s="21"/>
    </row>
    <row r="15" spans="1:8" ht="29.25" thickBot="1" x14ac:dyDescent="0.25">
      <c r="A15" s="754"/>
      <c r="B15" s="758" t="s">
        <v>475</v>
      </c>
      <c r="C15" s="1031"/>
      <c r="D15" s="1029"/>
      <c r="E15" s="1029"/>
      <c r="F15" s="1031"/>
      <c r="G15" s="1371"/>
      <c r="H15" s="21"/>
    </row>
    <row r="16" spans="1:8" s="26" customFormat="1" ht="15.75" thickBot="1" x14ac:dyDescent="0.25">
      <c r="A16" s="754" t="s">
        <v>10</v>
      </c>
      <c r="B16" s="759" t="s">
        <v>123</v>
      </c>
      <c r="C16" s="1034">
        <v>500679393</v>
      </c>
      <c r="D16" s="1032">
        <v>3772552</v>
      </c>
      <c r="E16" s="1033">
        <v>480714278</v>
      </c>
      <c r="F16" s="1034">
        <v>450405275</v>
      </c>
      <c r="G16" s="1371">
        <f t="shared" si="0"/>
        <v>93.695006704169501</v>
      </c>
      <c r="H16" s="755"/>
    </row>
    <row r="17" spans="1:8" ht="15.75" thickBot="1" x14ac:dyDescent="0.25">
      <c r="A17" s="754" t="s">
        <v>6</v>
      </c>
      <c r="B17" s="760" t="s">
        <v>57</v>
      </c>
      <c r="C17" s="1035">
        <f>C18+C19</f>
        <v>102758460</v>
      </c>
      <c r="D17" s="1035">
        <f>D18+D19</f>
        <v>2211232878</v>
      </c>
      <c r="E17" s="1035">
        <f>E18+E19</f>
        <v>2233189249</v>
      </c>
      <c r="F17" s="1036">
        <f>F18+F19</f>
        <v>1005277376</v>
      </c>
      <c r="G17" s="1025">
        <f t="shared" si="0"/>
        <v>45.015324001320231</v>
      </c>
      <c r="H17" s="21"/>
    </row>
    <row r="18" spans="1:8" ht="15.75" thickBot="1" x14ac:dyDescent="0.25">
      <c r="A18" s="754" t="s">
        <v>1</v>
      </c>
      <c r="B18" s="761" t="s">
        <v>124</v>
      </c>
      <c r="C18" s="1031">
        <v>888108</v>
      </c>
      <c r="D18" s="1030"/>
      <c r="E18" s="1030">
        <v>39256370</v>
      </c>
      <c r="F18" s="1031">
        <v>39256370</v>
      </c>
      <c r="G18" s="1371">
        <f t="shared" si="0"/>
        <v>100</v>
      </c>
      <c r="H18" s="21"/>
    </row>
    <row r="19" spans="1:8" ht="29.25" thickBot="1" x14ac:dyDescent="0.25">
      <c r="A19" s="754" t="s">
        <v>7</v>
      </c>
      <c r="B19" s="761" t="s">
        <v>125</v>
      </c>
      <c r="C19" s="1031">
        <v>101870352</v>
      </c>
      <c r="D19" s="1037">
        <v>2211232878</v>
      </c>
      <c r="E19" s="1030">
        <v>2193932879</v>
      </c>
      <c r="F19" s="1031">
        <v>966021006</v>
      </c>
      <c r="G19" s="1371">
        <f t="shared" si="0"/>
        <v>44.031474948327258</v>
      </c>
      <c r="H19" s="21"/>
    </row>
    <row r="20" spans="1:8" ht="15.75" thickBot="1" x14ac:dyDescent="0.25">
      <c r="A20" s="754" t="s">
        <v>15</v>
      </c>
      <c r="B20" s="762" t="s">
        <v>70</v>
      </c>
      <c r="C20" s="1038">
        <f>C22+C23+C27+C21</f>
        <v>82384251</v>
      </c>
      <c r="D20" s="1039">
        <f>D22+D23+D27+D21</f>
        <v>82386000</v>
      </c>
      <c r="E20" s="1039">
        <f>E22+E23+E27+E21</f>
        <v>82386000</v>
      </c>
      <c r="F20" s="1039">
        <f>F22+F23+F27+F21</f>
        <v>79516774</v>
      </c>
      <c r="G20" s="1025">
        <f t="shared" si="0"/>
        <v>96.517337897215555</v>
      </c>
      <c r="H20" s="21"/>
    </row>
    <row r="21" spans="1:8" ht="15.75" thickBot="1" x14ac:dyDescent="0.25">
      <c r="A21" s="754"/>
      <c r="B21" s="1040" t="s">
        <v>476</v>
      </c>
      <c r="C21" s="1038">
        <v>0</v>
      </c>
      <c r="D21" s="1038">
        <v>0</v>
      </c>
      <c r="E21" s="1038">
        <v>0</v>
      </c>
      <c r="F21" s="1041"/>
      <c r="G21" s="1025"/>
      <c r="H21" s="21"/>
    </row>
    <row r="22" spans="1:8" ht="15.75" thickBot="1" x14ac:dyDescent="0.25">
      <c r="A22" s="754" t="s">
        <v>13</v>
      </c>
      <c r="B22" s="763" t="s">
        <v>45</v>
      </c>
      <c r="C22" s="1043">
        <v>13998469</v>
      </c>
      <c r="D22" s="1042">
        <v>14000000</v>
      </c>
      <c r="E22" s="1042">
        <v>14000000</v>
      </c>
      <c r="F22" s="1042">
        <v>13129435</v>
      </c>
      <c r="G22" s="1371">
        <f t="shared" si="0"/>
        <v>93.781678571428571</v>
      </c>
      <c r="H22" s="21"/>
    </row>
    <row r="23" spans="1:8" s="26" customFormat="1" ht="15" thickBot="1" x14ac:dyDescent="0.25">
      <c r="A23" s="764" t="s">
        <v>25</v>
      </c>
      <c r="B23" s="765" t="s">
        <v>126</v>
      </c>
      <c r="C23" s="1044">
        <f>C24+C25+C26</f>
        <v>62498212</v>
      </c>
      <c r="D23" s="1044">
        <f>D24+D25+D26</f>
        <v>62499000</v>
      </c>
      <c r="E23" s="1044">
        <f>E24+E25+E26</f>
        <v>62499000</v>
      </c>
      <c r="F23" s="1044">
        <f>F24+F25+F26</f>
        <v>60902363</v>
      </c>
      <c r="G23" s="1372">
        <f t="shared" si="0"/>
        <v>97.445339925438816</v>
      </c>
      <c r="H23" s="755"/>
    </row>
    <row r="24" spans="1:8" ht="15.75" thickBot="1" x14ac:dyDescent="0.25">
      <c r="A24" s="754" t="s">
        <v>28</v>
      </c>
      <c r="B24" s="761" t="s">
        <v>127</v>
      </c>
      <c r="C24" s="1031">
        <v>53854570</v>
      </c>
      <c r="D24" s="1029">
        <v>53855000</v>
      </c>
      <c r="E24" s="1030">
        <v>53855000</v>
      </c>
      <c r="F24" s="1031">
        <v>51918474</v>
      </c>
      <c r="G24" s="1371">
        <f t="shared" si="0"/>
        <v>96.404185312412963</v>
      </c>
      <c r="H24" s="21"/>
    </row>
    <row r="25" spans="1:8" ht="15.75" thickBot="1" x14ac:dyDescent="0.25">
      <c r="A25" s="754" t="s">
        <v>26</v>
      </c>
      <c r="B25" s="761" t="s">
        <v>128</v>
      </c>
      <c r="C25" s="1031">
        <v>8643642</v>
      </c>
      <c r="D25" s="1029">
        <v>8644000</v>
      </c>
      <c r="E25" s="1030">
        <v>8644000</v>
      </c>
      <c r="F25" s="1031">
        <v>8983889</v>
      </c>
      <c r="G25" s="1371">
        <f t="shared" si="0"/>
        <v>103.93208005552985</v>
      </c>
      <c r="H25" s="21"/>
    </row>
    <row r="26" spans="1:8" ht="15.75" thickBot="1" x14ac:dyDescent="0.25">
      <c r="A26" s="754" t="s">
        <v>27</v>
      </c>
      <c r="B26" s="761" t="s">
        <v>49</v>
      </c>
      <c r="C26" s="1031"/>
      <c r="D26" s="1029"/>
      <c r="E26" s="1030"/>
      <c r="F26" s="1031"/>
      <c r="G26" s="1371"/>
      <c r="H26" s="21"/>
    </row>
    <row r="27" spans="1:8" s="26" customFormat="1" ht="15" thickBot="1" x14ac:dyDescent="0.25">
      <c r="A27" s="764" t="s">
        <v>29</v>
      </c>
      <c r="B27" s="766" t="s">
        <v>129</v>
      </c>
      <c r="C27" s="1034">
        <v>5887570</v>
      </c>
      <c r="D27" s="1032">
        <v>5887000</v>
      </c>
      <c r="E27" s="1033">
        <v>5887000</v>
      </c>
      <c r="F27" s="1034">
        <v>5484976</v>
      </c>
      <c r="G27" s="1372">
        <f t="shared" si="0"/>
        <v>93.170986920332936</v>
      </c>
      <c r="H27" s="755"/>
    </row>
    <row r="28" spans="1:8" ht="15.75" thickBot="1" x14ac:dyDescent="0.25">
      <c r="A28" s="754" t="s">
        <v>30</v>
      </c>
      <c r="B28" s="762" t="s">
        <v>130</v>
      </c>
      <c r="C28" s="1039">
        <v>83924262</v>
      </c>
      <c r="D28" s="1038">
        <v>44509360</v>
      </c>
      <c r="E28" s="1038">
        <v>82602687</v>
      </c>
      <c r="F28" s="1039">
        <v>73301432</v>
      </c>
      <c r="G28" s="1025">
        <f t="shared" si="0"/>
        <v>88.739767024770032</v>
      </c>
      <c r="H28" s="21"/>
    </row>
    <row r="29" spans="1:8" s="25" customFormat="1" ht="15.75" thickBot="1" x14ac:dyDescent="0.3">
      <c r="A29" s="754" t="s">
        <v>31</v>
      </c>
      <c r="B29" s="768" t="s">
        <v>71</v>
      </c>
      <c r="C29" s="1047">
        <v>2574243</v>
      </c>
      <c r="D29" s="1045">
        <v>5179650</v>
      </c>
      <c r="E29" s="1046">
        <v>11762468</v>
      </c>
      <c r="F29" s="1047">
        <v>3046456</v>
      </c>
      <c r="G29" s="1025">
        <f t="shared" si="0"/>
        <v>25.899802660462072</v>
      </c>
      <c r="H29" s="767"/>
    </row>
    <row r="30" spans="1:8" s="25" customFormat="1" ht="15.75" thickBot="1" x14ac:dyDescent="0.3">
      <c r="A30" s="754" t="s">
        <v>12</v>
      </c>
      <c r="B30" s="769" t="s">
        <v>68</v>
      </c>
      <c r="C30" s="1050">
        <v>4274438</v>
      </c>
      <c r="D30" s="1048">
        <v>8038004</v>
      </c>
      <c r="E30" s="1049">
        <v>13522040</v>
      </c>
      <c r="F30" s="1050">
        <v>14032101</v>
      </c>
      <c r="G30" s="1025">
        <f t="shared" si="0"/>
        <v>103.77207137384596</v>
      </c>
      <c r="H30" s="767"/>
    </row>
    <row r="31" spans="1:8" s="25" customFormat="1" ht="15.75" thickBot="1" x14ac:dyDescent="0.3">
      <c r="A31" s="754" t="s">
        <v>32</v>
      </c>
      <c r="B31" s="770" t="s">
        <v>59</v>
      </c>
      <c r="C31" s="1051">
        <f>SUM(C32:C33)</f>
        <v>0</v>
      </c>
      <c r="D31" s="1051">
        <f>SUM(D32:D33)</f>
        <v>0</v>
      </c>
      <c r="E31" s="1051">
        <f t="shared" ref="E31:F31" si="1">SUM(E32:E33)</f>
        <v>0</v>
      </c>
      <c r="F31" s="1051">
        <f t="shared" si="1"/>
        <v>0</v>
      </c>
      <c r="G31" s="1025"/>
      <c r="H31" s="767"/>
    </row>
    <row r="32" spans="1:8" s="85" customFormat="1" ht="29.25" thickBot="1" x14ac:dyDescent="0.25">
      <c r="A32" s="754" t="s">
        <v>33</v>
      </c>
      <c r="B32" s="771" t="s">
        <v>416</v>
      </c>
      <c r="C32" s="1052"/>
      <c r="D32" s="1053"/>
      <c r="E32" s="1053"/>
      <c r="F32" s="1054"/>
      <c r="G32" s="1025"/>
      <c r="H32" s="21"/>
    </row>
    <row r="33" spans="1:8" s="85" customFormat="1" ht="15.75" thickBot="1" x14ac:dyDescent="0.25">
      <c r="A33" s="754" t="s">
        <v>34</v>
      </c>
      <c r="B33" s="771" t="s">
        <v>421</v>
      </c>
      <c r="C33" s="1053">
        <v>0</v>
      </c>
      <c r="D33" s="1053"/>
      <c r="E33" s="1053"/>
      <c r="F33" s="1055"/>
      <c r="G33" s="1025"/>
      <c r="H33" s="21"/>
    </row>
    <row r="34" spans="1:8" ht="15.75" thickBot="1" x14ac:dyDescent="0.3">
      <c r="A34" s="1566" t="s">
        <v>43</v>
      </c>
      <c r="B34" s="1567"/>
      <c r="C34" s="1056">
        <f>C8+C17+C20+C28+C29+C30+C31</f>
        <v>1068552738</v>
      </c>
      <c r="D34" s="1056">
        <f>D8+D17+D20+D28+D29+D30+D31</f>
        <v>2696413594</v>
      </c>
      <c r="E34" s="1056">
        <f>E8+E17+E20+E28+E29+E30+E31</f>
        <v>3191414109</v>
      </c>
      <c r="F34" s="1057">
        <f>F8+F17+F20+F28+F29+F30+F31</f>
        <v>1912816801</v>
      </c>
      <c r="G34" s="1025">
        <f t="shared" si="0"/>
        <v>59.936339681075211</v>
      </c>
      <c r="H34" s="21"/>
    </row>
    <row r="35" spans="1:8" ht="15.75" thickBot="1" x14ac:dyDescent="0.25">
      <c r="A35" s="772" t="s">
        <v>36</v>
      </c>
      <c r="B35" s="762" t="s">
        <v>66</v>
      </c>
      <c r="C35" s="1058">
        <f>C36+C37+C38</f>
        <v>149245727</v>
      </c>
      <c r="D35" s="1058">
        <f>D36+D37+D38</f>
        <v>239508205</v>
      </c>
      <c r="E35" s="1058">
        <f>E36+E37+E38</f>
        <v>244031235</v>
      </c>
      <c r="F35" s="1058">
        <f>F36+F37+F38</f>
        <v>181187472</v>
      </c>
      <c r="G35" s="1025">
        <f t="shared" si="0"/>
        <v>74.247656042883207</v>
      </c>
      <c r="H35" s="21"/>
    </row>
    <row r="36" spans="1:8" ht="15.75" thickBot="1" x14ac:dyDescent="0.25">
      <c r="A36" s="772" t="s">
        <v>37</v>
      </c>
      <c r="B36" s="773" t="s">
        <v>131</v>
      </c>
      <c r="C36" s="1060"/>
      <c r="D36" s="1059">
        <v>93203667</v>
      </c>
      <c r="E36" s="1053">
        <v>84313667</v>
      </c>
      <c r="F36" s="1060"/>
      <c r="G36" s="1025">
        <f t="shared" si="0"/>
        <v>0</v>
      </c>
      <c r="H36" s="21"/>
    </row>
    <row r="37" spans="1:8" ht="15.75" thickBot="1" x14ac:dyDescent="0.25">
      <c r="A37" s="772" t="s">
        <v>38</v>
      </c>
      <c r="B37" s="773" t="s">
        <v>62</v>
      </c>
      <c r="C37" s="1060">
        <v>130570203</v>
      </c>
      <c r="D37" s="1059">
        <v>135254557</v>
      </c>
      <c r="E37" s="1053">
        <v>140110186</v>
      </c>
      <c r="F37" s="1060">
        <v>162501555</v>
      </c>
      <c r="G37" s="1370">
        <f t="shared" si="0"/>
        <v>115.98125706577822</v>
      </c>
      <c r="H37" s="1061"/>
    </row>
    <row r="38" spans="1:8" ht="15.75" thickBot="1" x14ac:dyDescent="0.25">
      <c r="A38" s="774" t="s">
        <v>160</v>
      </c>
      <c r="B38" s="1062" t="s">
        <v>398</v>
      </c>
      <c r="C38" s="1060">
        <v>18675524</v>
      </c>
      <c r="D38" s="1059">
        <v>11049981</v>
      </c>
      <c r="E38" s="775">
        <v>19607382</v>
      </c>
      <c r="F38" s="1060">
        <v>18685917</v>
      </c>
      <c r="G38" s="1370">
        <f t="shared" si="0"/>
        <v>95.300417975229948</v>
      </c>
      <c r="H38" s="21"/>
    </row>
    <row r="39" spans="1:8" ht="14.25" x14ac:dyDescent="0.2">
      <c r="A39" s="776"/>
      <c r="B39" s="777"/>
      <c r="C39" s="778"/>
      <c r="D39" s="779"/>
      <c r="E39" s="779"/>
      <c r="F39" s="780"/>
      <c r="G39" s="780"/>
      <c r="H39" s="21"/>
    </row>
    <row r="40" spans="1:8" ht="15" x14ac:dyDescent="0.2">
      <c r="A40" s="1568" t="s">
        <v>606</v>
      </c>
      <c r="B40" s="1568"/>
      <c r="C40" s="1568"/>
      <c r="D40" s="1568"/>
      <c r="E40" s="1568"/>
      <c r="F40" s="1568"/>
      <c r="G40" s="1568"/>
      <c r="H40" s="21"/>
    </row>
    <row r="41" spans="1:8" ht="15.75" thickBot="1" x14ac:dyDescent="0.25">
      <c r="A41" s="928"/>
      <c r="B41" s="928"/>
      <c r="C41" s="929"/>
      <c r="D41" s="930"/>
      <c r="E41" s="1063"/>
      <c r="F41" s="780"/>
      <c r="G41" s="780"/>
      <c r="H41" s="21"/>
    </row>
    <row r="42" spans="1:8" ht="15" x14ac:dyDescent="0.2">
      <c r="A42" s="1555" t="s">
        <v>23</v>
      </c>
      <c r="B42" s="1557" t="s">
        <v>24</v>
      </c>
      <c r="C42" s="1559" t="s">
        <v>603</v>
      </c>
      <c r="D42" s="1569" t="s">
        <v>604</v>
      </c>
      <c r="E42" s="1569"/>
      <c r="F42" s="1569"/>
      <c r="G42" s="1562" t="s">
        <v>150</v>
      </c>
      <c r="H42" s="21"/>
    </row>
    <row r="43" spans="1:8" ht="15.75" thickBot="1" x14ac:dyDescent="0.25">
      <c r="A43" s="1556"/>
      <c r="B43" s="1558"/>
      <c r="C43" s="1560"/>
      <c r="D43" s="1020" t="s">
        <v>156</v>
      </c>
      <c r="E43" s="1022" t="s">
        <v>158</v>
      </c>
      <c r="F43" s="1020" t="s">
        <v>149</v>
      </c>
      <c r="G43" s="1563"/>
      <c r="H43" s="21"/>
    </row>
    <row r="44" spans="1:8" ht="15.75" thickBot="1" x14ac:dyDescent="0.25">
      <c r="A44" s="931">
        <v>1</v>
      </c>
      <c r="B44" s="932">
        <v>2</v>
      </c>
      <c r="C44" s="933" t="s">
        <v>401</v>
      </c>
      <c r="D44" s="931" t="s">
        <v>414</v>
      </c>
      <c r="E44" s="1064" t="s">
        <v>400</v>
      </c>
      <c r="F44" s="934" t="s">
        <v>402</v>
      </c>
      <c r="G44" s="934" t="s">
        <v>403</v>
      </c>
      <c r="H44" s="21"/>
    </row>
    <row r="45" spans="1:8" ht="15.75" thickBot="1" x14ac:dyDescent="0.25">
      <c r="A45" s="781" t="s">
        <v>0</v>
      </c>
      <c r="B45" s="782" t="s">
        <v>132</v>
      </c>
      <c r="C45" s="1025">
        <f>C46+C47</f>
        <v>488940215</v>
      </c>
      <c r="D45" s="1025">
        <f>D46+D47</f>
        <v>203575708</v>
      </c>
      <c r="E45" s="1065">
        <f>E46+E47</f>
        <v>565566290</v>
      </c>
      <c r="F45" s="1025">
        <f>F46+F47</f>
        <v>502591633</v>
      </c>
      <c r="G45" s="1025">
        <f>F45/E45*100</f>
        <v>88.865203228431454</v>
      </c>
      <c r="H45" s="21"/>
    </row>
    <row r="46" spans="1:8" ht="15.75" thickBot="1" x14ac:dyDescent="0.25">
      <c r="A46" s="781" t="s">
        <v>4</v>
      </c>
      <c r="B46" s="783" t="s">
        <v>113</v>
      </c>
      <c r="C46" s="784">
        <v>457071192</v>
      </c>
      <c r="D46" s="1066">
        <f>'Működési kiadások3'!N8</f>
        <v>167042873</v>
      </c>
      <c r="E46" s="1066">
        <f>'Működési kiadások3'!O8</f>
        <v>514809269</v>
      </c>
      <c r="F46" s="1066">
        <f>'Működési kiadások3'!P8</f>
        <v>452743464</v>
      </c>
      <c r="G46" s="1025">
        <f t="shared" ref="G46:G63" si="2">F46/E46*100</f>
        <v>87.943922392741541</v>
      </c>
      <c r="H46" s="21"/>
    </row>
    <row r="47" spans="1:8" ht="15.75" thickBot="1" x14ac:dyDescent="0.25">
      <c r="A47" s="781" t="s">
        <v>8</v>
      </c>
      <c r="B47" s="785" t="s">
        <v>114</v>
      </c>
      <c r="C47" s="786">
        <v>31869023</v>
      </c>
      <c r="D47" s="1067">
        <f>'Működési kiadások3'!N10</f>
        <v>36532835</v>
      </c>
      <c r="E47" s="1067">
        <f>'Működési kiadások3'!O10</f>
        <v>50757021</v>
      </c>
      <c r="F47" s="1067">
        <f>'Működési kiadások3'!P10</f>
        <v>49848169</v>
      </c>
      <c r="G47" s="1025">
        <f t="shared" si="2"/>
        <v>98.209406340060809</v>
      </c>
      <c r="H47" s="21"/>
    </row>
    <row r="48" spans="1:8" s="25" customFormat="1" ht="15.75" thickBot="1" x14ac:dyDescent="0.3">
      <c r="A48" s="787" t="s">
        <v>2</v>
      </c>
      <c r="B48" s="1019" t="s">
        <v>110</v>
      </c>
      <c r="C48" s="788">
        <v>67695162</v>
      </c>
      <c r="D48" s="1038">
        <f>'Működési kiadások3'!N12</f>
        <v>33270848</v>
      </c>
      <c r="E48" s="1038">
        <f>'Működési kiadások3'!O12</f>
        <v>78302039</v>
      </c>
      <c r="F48" s="1038">
        <f>'Működési kiadások3'!P12</f>
        <v>69772086</v>
      </c>
      <c r="G48" s="1025">
        <f t="shared" si="2"/>
        <v>89.106346260025234</v>
      </c>
      <c r="H48" s="767"/>
    </row>
    <row r="49" spans="1:8" s="25" customFormat="1" ht="15.75" thickBot="1" x14ac:dyDescent="0.3">
      <c r="A49" s="789" t="s">
        <v>5</v>
      </c>
      <c r="B49" s="1019" t="s">
        <v>90</v>
      </c>
      <c r="C49" s="788">
        <v>198715724</v>
      </c>
      <c r="D49" s="1038">
        <f>'Működési kiadások3'!N13</f>
        <v>153182766</v>
      </c>
      <c r="E49" s="1038">
        <f>'Működési kiadások3'!O13</f>
        <v>199489691</v>
      </c>
      <c r="F49" s="1038">
        <f>'Működési kiadások3'!P13</f>
        <v>182848442</v>
      </c>
      <c r="G49" s="1025">
        <f t="shared" si="2"/>
        <v>91.658090743145209</v>
      </c>
      <c r="H49" s="767"/>
    </row>
    <row r="50" spans="1:8" s="25" customFormat="1" ht="15.75" thickBot="1" x14ac:dyDescent="0.3">
      <c r="A50" s="781" t="s">
        <v>9</v>
      </c>
      <c r="B50" s="1019" t="s">
        <v>133</v>
      </c>
      <c r="C50" s="788">
        <v>17688371</v>
      </c>
      <c r="D50" s="1038">
        <f>'Működési kiadások3'!N14</f>
        <v>11298000</v>
      </c>
      <c r="E50" s="1038">
        <f>'Működési kiadások3'!O14</f>
        <v>17769099</v>
      </c>
      <c r="F50" s="1038">
        <f>'Működési kiadások3'!P14</f>
        <v>17717099</v>
      </c>
      <c r="G50" s="1025">
        <f t="shared" si="2"/>
        <v>99.707357137241459</v>
      </c>
      <c r="H50" s="767"/>
    </row>
    <row r="51" spans="1:8" s="25" customFormat="1" ht="15.75" thickBot="1" x14ac:dyDescent="0.3">
      <c r="A51" s="787" t="s">
        <v>3</v>
      </c>
      <c r="B51" s="790" t="s">
        <v>140</v>
      </c>
      <c r="C51" s="1070">
        <v>89218279</v>
      </c>
      <c r="D51" s="1069">
        <f>'Működési kiadások3'!N15</f>
        <v>88035451</v>
      </c>
      <c r="E51" s="1069">
        <f>'Működési kiadások3'!O15</f>
        <v>105713153</v>
      </c>
      <c r="F51" s="1069">
        <f>'Működési kiadások3'!P15</f>
        <v>103133455</v>
      </c>
      <c r="G51" s="1025">
        <f t="shared" si="2"/>
        <v>97.559718987853856</v>
      </c>
      <c r="H51" s="767"/>
    </row>
    <row r="52" spans="1:8" s="85" customFormat="1" ht="15.75" thickBot="1" x14ac:dyDescent="0.25">
      <c r="A52" s="787" t="s">
        <v>10</v>
      </c>
      <c r="B52" s="791" t="s">
        <v>96</v>
      </c>
      <c r="C52" s="1071">
        <f>SUM(C53:C54)</f>
        <v>0</v>
      </c>
      <c r="D52" s="1072">
        <f>SUM(D53:D54)</f>
        <v>11996667</v>
      </c>
      <c r="E52" s="1073">
        <f>SUM(E53:E54)</f>
        <v>2762116</v>
      </c>
      <c r="F52" s="1071">
        <f>SUM(F53:F54)</f>
        <v>0</v>
      </c>
      <c r="G52" s="1025"/>
      <c r="H52" s="21"/>
    </row>
    <row r="53" spans="1:8" ht="15.75" thickBot="1" x14ac:dyDescent="0.25">
      <c r="A53" s="787" t="s">
        <v>6</v>
      </c>
      <c r="B53" s="792" t="s">
        <v>136</v>
      </c>
      <c r="C53" s="793"/>
      <c r="D53" s="1074">
        <f>'Működési kiadások3'!B37</f>
        <v>4000000</v>
      </c>
      <c r="E53" s="1074">
        <f>'Működési kiadások3'!C37</f>
        <v>0</v>
      </c>
      <c r="F53" s="1074">
        <f>'Működési kiadások3'!D37</f>
        <v>0</v>
      </c>
      <c r="G53" s="1025"/>
      <c r="H53" s="21"/>
    </row>
    <row r="54" spans="1:8" ht="15.75" thickBot="1" x14ac:dyDescent="0.25">
      <c r="A54" s="787" t="s">
        <v>1</v>
      </c>
      <c r="B54" s="794" t="s">
        <v>137</v>
      </c>
      <c r="C54" s="795"/>
      <c r="D54" s="1075">
        <f>Kiadások2!N24-'Működési kiadások3'!B37</f>
        <v>7996667</v>
      </c>
      <c r="E54" s="1075">
        <f>Kiadások2!O24-'Működési kiadások3'!C37</f>
        <v>2762116</v>
      </c>
      <c r="F54" s="1075">
        <f>Kiadások2!P24-'Működési kiadások3'!D37</f>
        <v>0</v>
      </c>
      <c r="G54" s="1025"/>
      <c r="H54" s="21"/>
    </row>
    <row r="55" spans="1:8" s="25" customFormat="1" ht="15.75" thickBot="1" x14ac:dyDescent="0.3">
      <c r="A55" s="787" t="s">
        <v>7</v>
      </c>
      <c r="B55" s="796" t="s">
        <v>134</v>
      </c>
      <c r="C55" s="797">
        <v>134174247</v>
      </c>
      <c r="D55" s="1076">
        <f>Kiadások2!N18</f>
        <v>2380765690</v>
      </c>
      <c r="E55" s="1076">
        <f>Kiadások2!O18</f>
        <v>2369897059</v>
      </c>
      <c r="F55" s="1076">
        <f>Kiadások2!P18</f>
        <v>78048881</v>
      </c>
      <c r="G55" s="1025">
        <f t="shared" si="2"/>
        <v>3.2933447764576509</v>
      </c>
      <c r="H55" s="767"/>
    </row>
    <row r="56" spans="1:8" s="25" customFormat="1" ht="15.75" thickBot="1" x14ac:dyDescent="0.3">
      <c r="A56" s="787" t="s">
        <v>15</v>
      </c>
      <c r="B56" s="1019" t="s">
        <v>135</v>
      </c>
      <c r="C56" s="788">
        <v>31364261</v>
      </c>
      <c r="D56" s="1038">
        <f>Kiadások2!N19</f>
        <v>35192323</v>
      </c>
      <c r="E56" s="1038">
        <f>Kiadások2!O19</f>
        <v>67431403</v>
      </c>
      <c r="F56" s="1038">
        <f>Kiadások2!P19</f>
        <v>58748918</v>
      </c>
      <c r="G56" s="1025">
        <f t="shared" si="2"/>
        <v>87.123973973965803</v>
      </c>
      <c r="H56" s="767"/>
    </row>
    <row r="57" spans="1:8" s="25" customFormat="1" ht="15.75" thickBot="1" x14ac:dyDescent="0.3">
      <c r="A57" s="787" t="s">
        <v>13</v>
      </c>
      <c r="B57" s="1019" t="s">
        <v>94</v>
      </c>
      <c r="C57" s="788">
        <v>1824753</v>
      </c>
      <c r="D57" s="1038">
        <f>Kiadások2!N20</f>
        <v>0</v>
      </c>
      <c r="E57" s="1038">
        <f>Kiadások2!O20</f>
        <v>1500000</v>
      </c>
      <c r="F57" s="1038">
        <f>Kiadások2!P20</f>
        <v>1500000</v>
      </c>
      <c r="G57" s="1025">
        <f t="shared" si="2"/>
        <v>100</v>
      </c>
      <c r="H57" s="767"/>
    </row>
    <row r="58" spans="1:8" ht="15.75" thickBot="1" x14ac:dyDescent="0.25">
      <c r="A58" s="787" t="s">
        <v>25</v>
      </c>
      <c r="B58" s="798" t="s">
        <v>104</v>
      </c>
      <c r="C58" s="1038">
        <f>C59+C60</f>
        <v>133050594</v>
      </c>
      <c r="D58" s="1039">
        <f>D59+D60</f>
        <v>18404346</v>
      </c>
      <c r="E58" s="1068">
        <f>E59+E60</f>
        <v>26814494</v>
      </c>
      <c r="F58" s="1038">
        <f>F59+F60</f>
        <v>26971409</v>
      </c>
      <c r="G58" s="1025">
        <f t="shared" si="2"/>
        <v>100.58518724985078</v>
      </c>
      <c r="H58" s="21"/>
    </row>
    <row r="59" spans="1:8" ht="15.75" thickBot="1" x14ac:dyDescent="0.25">
      <c r="A59" s="787" t="s">
        <v>28</v>
      </c>
      <c r="B59" s="799" t="s">
        <v>98</v>
      </c>
      <c r="C59" s="800">
        <v>125496229</v>
      </c>
      <c r="D59" s="1077">
        <f>Kiadások2!N14-133112153</f>
        <v>10849981</v>
      </c>
      <c r="E59" s="1077">
        <f>Kiadások2!O14-136884096</f>
        <v>19260129</v>
      </c>
      <c r="F59" s="1077">
        <f>Kiadások2!P14-128102817</f>
        <v>19417044</v>
      </c>
      <c r="G59" s="1025">
        <f t="shared" si="2"/>
        <v>100.81471416935992</v>
      </c>
      <c r="H59" s="21"/>
    </row>
    <row r="60" spans="1:8" ht="15.75" thickBot="1" x14ac:dyDescent="0.25">
      <c r="A60" s="787" t="s">
        <v>26</v>
      </c>
      <c r="B60" s="799" t="s">
        <v>99</v>
      </c>
      <c r="C60" s="793">
        <v>7554365</v>
      </c>
      <c r="D60" s="1078">
        <f>Kiadások2!N21</f>
        <v>7554365</v>
      </c>
      <c r="E60" s="1078">
        <f>Kiadások2!O21</f>
        <v>7554365</v>
      </c>
      <c r="F60" s="1078">
        <f>Kiadások2!P21</f>
        <v>7554365</v>
      </c>
      <c r="G60" s="1025">
        <f t="shared" si="2"/>
        <v>100</v>
      </c>
      <c r="H60" s="21"/>
    </row>
    <row r="61" spans="1:8" ht="15.75" thickBot="1" x14ac:dyDescent="0.25">
      <c r="A61" s="787" t="s">
        <v>27</v>
      </c>
      <c r="B61" s="798" t="s">
        <v>139</v>
      </c>
      <c r="C61" s="803">
        <f>C45+C48+C49+C50+C51+C55+C56+C57+C58+C52</f>
        <v>1162671606</v>
      </c>
      <c r="D61" s="801">
        <f>D45+D48+D49+D50+D51+D55+D56+D57+D58+D52</f>
        <v>2935721799</v>
      </c>
      <c r="E61" s="802">
        <f>E45+E48+E49+E50+E51+E55+E56+E57+E58+E52</f>
        <v>3435245344</v>
      </c>
      <c r="F61" s="803">
        <f>F45+F48+F49+F50+F51+F55+F56+F57+F58+F52</f>
        <v>1041331923</v>
      </c>
      <c r="G61" s="1025">
        <f t="shared" si="2"/>
        <v>30.31317471454522</v>
      </c>
      <c r="H61" s="21"/>
    </row>
    <row r="62" spans="1:8" ht="14.25" customHeight="1" thickBot="1" x14ac:dyDescent="0.25">
      <c r="A62" s="1564" t="s">
        <v>446</v>
      </c>
      <c r="B62" s="1565"/>
      <c r="C62" s="788">
        <f>C61</f>
        <v>1162671606</v>
      </c>
      <c r="D62" s="805">
        <f>D61</f>
        <v>2935721799</v>
      </c>
      <c r="E62" s="806">
        <f>E61</f>
        <v>3435245344</v>
      </c>
      <c r="F62" s="788">
        <f>F61</f>
        <v>1041331923</v>
      </c>
      <c r="G62" s="1025">
        <f t="shared" si="2"/>
        <v>30.31317471454522</v>
      </c>
      <c r="H62" s="21"/>
    </row>
    <row r="63" spans="1:8" ht="15" customHeight="1" thickBot="1" x14ac:dyDescent="0.25">
      <c r="A63" s="1564" t="s">
        <v>447</v>
      </c>
      <c r="B63" s="1565"/>
      <c r="C63" s="804">
        <f>C34+C35</f>
        <v>1217798465</v>
      </c>
      <c r="D63" s="805">
        <f>D34+D35</f>
        <v>2935921799</v>
      </c>
      <c r="E63" s="806">
        <f>E34+E35</f>
        <v>3435445344</v>
      </c>
      <c r="F63" s="788">
        <f>F34+F35</f>
        <v>2094004273</v>
      </c>
      <c r="G63" s="1038">
        <f t="shared" si="2"/>
        <v>60.952920606266524</v>
      </c>
      <c r="H63" s="21"/>
    </row>
    <row r="64" spans="1:8" ht="14.25" x14ac:dyDescent="0.2">
      <c r="A64" s="21"/>
      <c r="B64" s="780"/>
      <c r="C64" s="807"/>
      <c r="D64" s="1079"/>
      <c r="E64" s="1079"/>
      <c r="F64" s="1079"/>
      <c r="G64" s="780"/>
      <c r="H64" s="21"/>
    </row>
    <row r="66" spans="4:4" x14ac:dyDescent="0.2">
      <c r="D66" s="1373"/>
    </row>
    <row r="68" spans="4:4" x14ac:dyDescent="0.2">
      <c r="D68" s="1374"/>
    </row>
    <row r="69" spans="4:4" x14ac:dyDescent="0.2">
      <c r="D69" s="1374"/>
    </row>
  </sheetData>
  <mergeCells count="16">
    <mergeCell ref="A62:B62"/>
    <mergeCell ref="A63:B63"/>
    <mergeCell ref="A34:B34"/>
    <mergeCell ref="A40:G40"/>
    <mergeCell ref="A42:A43"/>
    <mergeCell ref="B42:B43"/>
    <mergeCell ref="C42:C43"/>
    <mergeCell ref="D42:F42"/>
    <mergeCell ref="G42:G43"/>
    <mergeCell ref="A1:G1"/>
    <mergeCell ref="A4:G4"/>
    <mergeCell ref="A5:A6"/>
    <mergeCell ref="B5:B6"/>
    <mergeCell ref="C5:C6"/>
    <mergeCell ref="D5:F5"/>
    <mergeCell ref="G5:G6"/>
  </mergeCells>
  <pageMargins left="0.78740157480314965" right="0.78740157480314965" top="0.39370078740157483" bottom="0.39370078740157483" header="0" footer="0"/>
  <pageSetup paperSize="9" scale="53" orientation="landscape" r:id="rId1"/>
  <headerFooter alignWithMargins="0">
    <oddHeader>&amp;R5.sz. melléklet
......./2019.(V.30.) Egyek Önk.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30" zoomScaleNormal="130" workbookViewId="0">
      <selection activeCell="C16" sqref="C16"/>
    </sheetView>
  </sheetViews>
  <sheetFormatPr defaultRowHeight="12.75" x14ac:dyDescent="0.2"/>
  <cols>
    <col min="1" max="1" width="36.7109375" customWidth="1"/>
    <col min="2" max="2" width="15.5703125" bestFit="1" customWidth="1"/>
    <col min="3" max="4" width="13.140625" customWidth="1"/>
    <col min="5" max="5" width="8.7109375" customWidth="1"/>
    <col min="6" max="6" width="37.28515625" customWidth="1"/>
    <col min="7" max="7" width="14.140625" customWidth="1"/>
    <col min="8" max="8" width="12.42578125" style="24" customWidth="1"/>
    <col min="9" max="9" width="12.140625" style="24" customWidth="1"/>
    <col min="10" max="10" width="10.85546875" customWidth="1"/>
    <col min="11" max="11" width="11.140625" bestFit="1" customWidth="1"/>
    <col min="13" max="14" width="11.140625" bestFit="1" customWidth="1"/>
  </cols>
  <sheetData>
    <row r="1" spans="1:14" ht="15.75" x14ac:dyDescent="0.25">
      <c r="A1" s="1570" t="s">
        <v>607</v>
      </c>
      <c r="B1" s="1570"/>
      <c r="C1" s="1570"/>
      <c r="D1" s="1570"/>
      <c r="E1" s="1570"/>
      <c r="F1" s="1570"/>
      <c r="G1" s="1570"/>
      <c r="H1" s="1570"/>
      <c r="I1" s="1570"/>
      <c r="J1" s="1570"/>
    </row>
    <row r="2" spans="1:14" x14ac:dyDescent="0.2">
      <c r="A2" s="504"/>
      <c r="B2" s="505"/>
      <c r="C2" s="505"/>
      <c r="D2" s="505"/>
      <c r="E2" s="504"/>
      <c r="F2" s="504"/>
      <c r="G2" s="3"/>
      <c r="H2" s="975"/>
      <c r="I2" s="975"/>
      <c r="J2" s="3"/>
    </row>
    <row r="3" spans="1:14" ht="13.5" thickBot="1" x14ac:dyDescent="0.25">
      <c r="A3" s="3"/>
      <c r="B3" s="3"/>
      <c r="C3" s="3"/>
      <c r="D3" s="3"/>
      <c r="E3" s="3"/>
      <c r="F3" s="3"/>
      <c r="G3" s="3"/>
      <c r="H3" s="1571" t="s">
        <v>459</v>
      </c>
      <c r="I3" s="1571"/>
      <c r="J3" s="1571"/>
    </row>
    <row r="4" spans="1:14" x14ac:dyDescent="0.2">
      <c r="A4" s="506"/>
      <c r="B4" s="518"/>
      <c r="C4" s="518"/>
      <c r="D4" s="519"/>
      <c r="E4" s="518"/>
      <c r="F4" s="507"/>
      <c r="G4" s="518"/>
      <c r="H4" s="976"/>
      <c r="I4" s="983"/>
      <c r="J4" s="518"/>
    </row>
    <row r="5" spans="1:14" x14ac:dyDescent="0.2">
      <c r="A5" s="508" t="s">
        <v>280</v>
      </c>
      <c r="B5" s="520" t="s">
        <v>147</v>
      </c>
      <c r="C5" s="520" t="s">
        <v>148</v>
      </c>
      <c r="D5" s="521" t="s">
        <v>149</v>
      </c>
      <c r="E5" s="520" t="s">
        <v>291</v>
      </c>
      <c r="F5" s="509" t="s">
        <v>281</v>
      </c>
      <c r="G5" s="520" t="s">
        <v>147</v>
      </c>
      <c r="H5" s="977" t="s">
        <v>148</v>
      </c>
      <c r="I5" s="984" t="s">
        <v>149</v>
      </c>
      <c r="J5" s="520" t="s">
        <v>291</v>
      </c>
    </row>
    <row r="6" spans="1:14" ht="13.5" thickBot="1" x14ac:dyDescent="0.25">
      <c r="A6" s="510"/>
      <c r="B6" s="520"/>
      <c r="C6" s="520"/>
      <c r="D6" s="521"/>
      <c r="E6" s="520"/>
      <c r="F6" s="509"/>
      <c r="G6" s="508"/>
      <c r="H6" s="978"/>
      <c r="I6" s="985"/>
      <c r="J6" s="508"/>
    </row>
    <row r="7" spans="1:14" ht="13.5" thickBot="1" x14ac:dyDescent="0.25">
      <c r="A7" s="509"/>
      <c r="B7" s="511"/>
      <c r="C7" s="511"/>
      <c r="D7" s="512"/>
      <c r="E7" s="560"/>
      <c r="F7" s="561"/>
      <c r="G7" s="562"/>
      <c r="H7" s="979"/>
      <c r="I7" s="986"/>
      <c r="J7" s="506"/>
    </row>
    <row r="8" spans="1:14" ht="13.5" thickBot="1" x14ac:dyDescent="0.25">
      <c r="A8" s="563" t="s">
        <v>282</v>
      </c>
      <c r="B8" s="506"/>
      <c r="C8" s="506"/>
      <c r="D8" s="564"/>
      <c r="E8" s="506"/>
      <c r="F8" s="565" t="s">
        <v>283</v>
      </c>
      <c r="G8" s="566"/>
      <c r="H8" s="980"/>
      <c r="I8" s="987"/>
      <c r="J8" s="567"/>
    </row>
    <row r="9" spans="1:14" ht="13.5" thickBot="1" x14ac:dyDescent="0.25">
      <c r="A9" s="568" t="s">
        <v>386</v>
      </c>
      <c r="B9" s="569">
        <v>203575708</v>
      </c>
      <c r="C9" s="569">
        <v>565566290</v>
      </c>
      <c r="D9" s="569">
        <v>502591633</v>
      </c>
      <c r="E9" s="569">
        <f>SUM(D9/C9*100)</f>
        <v>88.865203228431454</v>
      </c>
      <c r="F9" s="570" t="s">
        <v>387</v>
      </c>
      <c r="G9" s="571">
        <v>319663750</v>
      </c>
      <c r="H9" s="969">
        <v>741884822</v>
      </c>
      <c r="I9" s="970">
        <v>683337265</v>
      </c>
      <c r="J9" s="517">
        <f t="shared" ref="J9:J15" si="0">SUM(I9/H9*100)</f>
        <v>92.108268660603486</v>
      </c>
      <c r="K9" s="2"/>
    </row>
    <row r="10" spans="1:14" ht="26.25" thickBot="1" x14ac:dyDescent="0.25">
      <c r="A10" s="572" t="s">
        <v>110</v>
      </c>
      <c r="B10" s="517">
        <v>33270848</v>
      </c>
      <c r="C10" s="517">
        <v>78302039</v>
      </c>
      <c r="D10" s="517">
        <v>69772086</v>
      </c>
      <c r="E10" s="569">
        <f t="shared" ref="E10:E15" si="1">SUM(D10/C10*100)</f>
        <v>89.106346260025234</v>
      </c>
      <c r="F10" s="573" t="s">
        <v>70</v>
      </c>
      <c r="G10" s="573">
        <v>59742000</v>
      </c>
      <c r="H10" s="588">
        <v>59742000</v>
      </c>
      <c r="I10" s="971">
        <v>57403450</v>
      </c>
      <c r="J10" s="517">
        <f t="shared" si="0"/>
        <v>96.085584680794085</v>
      </c>
      <c r="K10" s="2"/>
    </row>
    <row r="11" spans="1:14" ht="12.75" customHeight="1" thickBot="1" x14ac:dyDescent="0.25">
      <c r="A11" s="574" t="s">
        <v>388</v>
      </c>
      <c r="B11" s="517">
        <v>153182766</v>
      </c>
      <c r="C11" s="517">
        <v>199489691</v>
      </c>
      <c r="D11" s="517">
        <v>182848442</v>
      </c>
      <c r="E11" s="569">
        <f t="shared" si="1"/>
        <v>91.658090743145209</v>
      </c>
      <c r="F11" s="575" t="s">
        <v>50</v>
      </c>
      <c r="G11" s="573">
        <v>23127982</v>
      </c>
      <c r="H11" s="588">
        <v>62922042</v>
      </c>
      <c r="I11" s="971">
        <v>38088920</v>
      </c>
      <c r="J11" s="517">
        <f t="shared" si="0"/>
        <v>60.533509068253068</v>
      </c>
      <c r="K11" s="2"/>
    </row>
    <row r="12" spans="1:14" ht="13.5" thickBot="1" x14ac:dyDescent="0.25">
      <c r="A12" s="574" t="s">
        <v>91</v>
      </c>
      <c r="B12" s="517">
        <v>11298000</v>
      </c>
      <c r="C12" s="517">
        <v>17769099</v>
      </c>
      <c r="D12" s="517">
        <v>17717099</v>
      </c>
      <c r="E12" s="569">
        <f t="shared" si="1"/>
        <v>99.707357137241459</v>
      </c>
      <c r="F12" s="576" t="s">
        <v>68</v>
      </c>
      <c r="G12" s="573">
        <v>204000</v>
      </c>
      <c r="H12" s="588">
        <v>13522040</v>
      </c>
      <c r="I12" s="971">
        <v>14032101</v>
      </c>
      <c r="J12" s="517">
        <f t="shared" si="0"/>
        <v>103.77207137384596</v>
      </c>
    </row>
    <row r="13" spans="1:14" ht="13.5" thickBot="1" x14ac:dyDescent="0.25">
      <c r="A13" s="574" t="s">
        <v>389</v>
      </c>
      <c r="B13" s="517">
        <v>92035451</v>
      </c>
      <c r="C13" s="517">
        <v>105713153</v>
      </c>
      <c r="D13" s="517">
        <v>103133455</v>
      </c>
      <c r="E13" s="569">
        <f t="shared" si="1"/>
        <v>97.559718987853856</v>
      </c>
      <c r="F13" s="575" t="s">
        <v>391</v>
      </c>
      <c r="G13" s="573">
        <v>90625041</v>
      </c>
      <c r="H13" s="587">
        <v>108229497</v>
      </c>
      <c r="I13" s="587">
        <v>129699401</v>
      </c>
      <c r="J13" s="517">
        <f t="shared" si="0"/>
        <v>119.8373868447342</v>
      </c>
    </row>
    <row r="14" spans="1:14" ht="13.5" thickBot="1" x14ac:dyDescent="0.25">
      <c r="A14" s="574" t="s">
        <v>390</v>
      </c>
      <c r="B14" s="517">
        <v>4000000</v>
      </c>
      <c r="C14" s="517"/>
      <c r="D14" s="517"/>
      <c r="E14" s="569"/>
      <c r="F14" s="575" t="s">
        <v>466</v>
      </c>
      <c r="G14" s="573">
        <v>90625041</v>
      </c>
      <c r="H14" s="588">
        <v>88622115</v>
      </c>
      <c r="I14" s="971">
        <v>111013484</v>
      </c>
      <c r="J14" s="517">
        <f t="shared" si="0"/>
        <v>125.26611895913339</v>
      </c>
    </row>
    <row r="15" spans="1:14" ht="13.5" thickBot="1" x14ac:dyDescent="0.25">
      <c r="A15" s="513" t="s">
        <v>422</v>
      </c>
      <c r="B15" s="514">
        <v>11049981</v>
      </c>
      <c r="C15" s="514">
        <v>19460129</v>
      </c>
      <c r="D15" s="514">
        <v>147519861</v>
      </c>
      <c r="E15" s="569">
        <f t="shared" si="1"/>
        <v>758.06209198304907</v>
      </c>
      <c r="F15" s="825" t="s">
        <v>467</v>
      </c>
      <c r="G15" s="581">
        <v>11049981</v>
      </c>
      <c r="H15" s="972">
        <v>19607382</v>
      </c>
      <c r="I15" s="973">
        <v>18685917</v>
      </c>
      <c r="J15" s="514">
        <f t="shared" si="0"/>
        <v>95.300417975229948</v>
      </c>
    </row>
    <row r="16" spans="1:14" ht="13.5" thickBot="1" x14ac:dyDescent="0.25">
      <c r="A16" s="577" t="s">
        <v>284</v>
      </c>
      <c r="B16" s="578">
        <f>SUM(B9+B10+B11+B12+B13+B15)</f>
        <v>504412754</v>
      </c>
      <c r="C16" s="578">
        <f>SUM(C9+C10+C11+C12+C13+C15)</f>
        <v>986300401</v>
      </c>
      <c r="D16" s="578">
        <f t="shared" ref="D16" si="2">SUM(D9+D10+D11+D12+D13+D15)</f>
        <v>1023582576</v>
      </c>
      <c r="E16" s="578">
        <f>SUM(D16/C16*100)</f>
        <v>103.7800020117806</v>
      </c>
      <c r="F16" s="578" t="s">
        <v>285</v>
      </c>
      <c r="G16" s="578">
        <f>G9+G10+G11+G12+G13+G15</f>
        <v>504412754</v>
      </c>
      <c r="H16" s="981">
        <f>SUM(H9:H13)</f>
        <v>986300401</v>
      </c>
      <c r="I16" s="981">
        <f>I9+I10+I11+I12+I13</f>
        <v>922561137</v>
      </c>
      <c r="J16" s="578">
        <f>SUM(I16/H16*100)</f>
        <v>93.537540496244816</v>
      </c>
      <c r="N16" s="2">
        <f>SUM(I14+I25)</f>
        <v>162501555</v>
      </c>
    </row>
    <row r="17" spans="1:13" ht="13.5" thickBot="1" x14ac:dyDescent="0.25">
      <c r="A17" s="513"/>
      <c r="B17" s="514"/>
      <c r="C17" s="514"/>
      <c r="D17" s="515"/>
      <c r="E17" s="516"/>
      <c r="F17" s="580"/>
      <c r="G17" s="581"/>
      <c r="H17" s="972"/>
      <c r="I17" s="972"/>
      <c r="J17" s="514"/>
    </row>
    <row r="18" spans="1:13" ht="13.5" thickBot="1" x14ac:dyDescent="0.25">
      <c r="A18" s="563" t="s">
        <v>286</v>
      </c>
      <c r="B18" s="582"/>
      <c r="C18" s="582"/>
      <c r="D18" s="583"/>
      <c r="E18" s="582"/>
      <c r="F18" s="584" t="s">
        <v>287</v>
      </c>
      <c r="G18" s="585"/>
      <c r="H18" s="974"/>
      <c r="I18" s="974"/>
      <c r="J18" s="586"/>
    </row>
    <row r="19" spans="1:13" s="85" customFormat="1" ht="13.5" thickBot="1" x14ac:dyDescent="0.25">
      <c r="A19" s="959"/>
      <c r="B19" s="582"/>
      <c r="C19" s="582"/>
      <c r="D19" s="583"/>
      <c r="E19" s="582"/>
      <c r="F19" s="569" t="s">
        <v>387</v>
      </c>
      <c r="G19" s="569">
        <v>25403952</v>
      </c>
      <c r="H19" s="1105">
        <v>26066843</v>
      </c>
      <c r="I19" s="1105">
        <v>54305397</v>
      </c>
      <c r="J19" s="517">
        <f t="shared" ref="J19:J27" si="3">SUM(I19/H19*100)</f>
        <v>208.33131576386143</v>
      </c>
    </row>
    <row r="20" spans="1:13" ht="13.5" thickBot="1" x14ac:dyDescent="0.25">
      <c r="A20" s="961" t="s">
        <v>92</v>
      </c>
      <c r="B20" s="1376">
        <v>2380765690</v>
      </c>
      <c r="C20" s="1199">
        <v>2369897059</v>
      </c>
      <c r="D20" s="1199">
        <v>78048881</v>
      </c>
      <c r="E20" s="570">
        <f>SUM(D20/C20*100)</f>
        <v>3.2933447764576509</v>
      </c>
      <c r="F20" s="1104" t="s">
        <v>392</v>
      </c>
      <c r="G20" s="573">
        <v>2211232878</v>
      </c>
      <c r="H20" s="588">
        <v>2233189249</v>
      </c>
      <c r="I20" s="971">
        <v>1005277376</v>
      </c>
      <c r="J20" s="517">
        <f t="shared" si="3"/>
        <v>45.015324001320231</v>
      </c>
    </row>
    <row r="21" spans="1:13" ht="13.5" thickBot="1" x14ac:dyDescent="0.25">
      <c r="A21" s="962" t="s">
        <v>93</v>
      </c>
      <c r="B21" s="1377">
        <v>35192323</v>
      </c>
      <c r="C21" s="1200">
        <v>67431403</v>
      </c>
      <c r="D21" s="1200">
        <v>58748918</v>
      </c>
      <c r="E21" s="570">
        <f t="shared" ref="E21:E24" si="4">SUM(D21/C21*100)</f>
        <v>87.123973973965803</v>
      </c>
      <c r="F21" s="573" t="s">
        <v>70</v>
      </c>
      <c r="G21" s="571">
        <v>22644000</v>
      </c>
      <c r="H21" s="969">
        <v>22644000</v>
      </c>
      <c r="I21" s="969">
        <v>22113324</v>
      </c>
      <c r="J21" s="517"/>
    </row>
    <row r="22" spans="1:13" ht="13.5" thickBot="1" x14ac:dyDescent="0.25">
      <c r="A22" s="962" t="s">
        <v>393</v>
      </c>
      <c r="B22" s="1377"/>
      <c r="C22" s="1200">
        <v>1500000</v>
      </c>
      <c r="D22" s="1200">
        <v>1500000</v>
      </c>
      <c r="E22" s="570">
        <f t="shared" si="4"/>
        <v>100</v>
      </c>
      <c r="F22" s="575" t="s">
        <v>50</v>
      </c>
      <c r="G22" s="571">
        <v>21381378</v>
      </c>
      <c r="H22" s="969">
        <v>19680645</v>
      </c>
      <c r="I22" s="969">
        <v>35212512</v>
      </c>
      <c r="J22" s="517"/>
    </row>
    <row r="23" spans="1:13" ht="13.5" thickBot="1" x14ac:dyDescent="0.25">
      <c r="A23" s="962" t="s">
        <v>104</v>
      </c>
      <c r="B23" s="1377">
        <v>7554365</v>
      </c>
      <c r="C23" s="1200">
        <v>7554365</v>
      </c>
      <c r="D23" s="1200">
        <v>7554365</v>
      </c>
      <c r="E23" s="570">
        <f t="shared" si="4"/>
        <v>100</v>
      </c>
      <c r="F23" s="573" t="s">
        <v>71</v>
      </c>
      <c r="G23" s="573">
        <v>5179650</v>
      </c>
      <c r="H23" s="588">
        <v>11762468</v>
      </c>
      <c r="I23" s="588">
        <v>3046456</v>
      </c>
      <c r="J23" s="517">
        <f t="shared" si="3"/>
        <v>25.899802660462072</v>
      </c>
    </row>
    <row r="24" spans="1:13" ht="13.5" thickBot="1" x14ac:dyDescent="0.25">
      <c r="A24" s="962" t="s">
        <v>396</v>
      </c>
      <c r="B24" s="1378">
        <v>7996667</v>
      </c>
      <c r="C24" s="1378">
        <v>2762116</v>
      </c>
      <c r="D24" s="1201"/>
      <c r="E24" s="570">
        <f t="shared" si="4"/>
        <v>0</v>
      </c>
      <c r="F24" s="573" t="s">
        <v>394</v>
      </c>
      <c r="G24" s="573">
        <v>7834004</v>
      </c>
      <c r="H24" s="588"/>
      <c r="I24" s="588"/>
      <c r="J24" s="517"/>
    </row>
    <row r="25" spans="1:13" ht="13.5" thickBot="1" x14ac:dyDescent="0.25">
      <c r="A25" s="963"/>
      <c r="B25" s="1379"/>
      <c r="C25" s="966"/>
      <c r="D25" s="966"/>
      <c r="E25" s="570"/>
      <c r="F25" s="587" t="s">
        <v>395</v>
      </c>
      <c r="G25" s="573">
        <f>G26+G27</f>
        <v>137833183</v>
      </c>
      <c r="H25" s="573">
        <f>SUM(H26:H27)</f>
        <v>135801738</v>
      </c>
      <c r="I25" s="587">
        <f>SUM(I26:I27)</f>
        <v>51488071</v>
      </c>
      <c r="J25" s="517">
        <f t="shared" si="3"/>
        <v>37.914147313784746</v>
      </c>
    </row>
    <row r="26" spans="1:13" ht="13.5" thickBot="1" x14ac:dyDescent="0.25">
      <c r="A26" s="962"/>
      <c r="B26" s="1377"/>
      <c r="C26" s="517"/>
      <c r="D26" s="517"/>
      <c r="E26" s="570"/>
      <c r="F26" s="573" t="s">
        <v>397</v>
      </c>
      <c r="G26" s="573">
        <v>93203667</v>
      </c>
      <c r="H26" s="588">
        <v>84313667</v>
      </c>
      <c r="I26" s="1403"/>
      <c r="J26" s="517">
        <f t="shared" si="3"/>
        <v>0</v>
      </c>
      <c r="M26" s="2">
        <f>G25+G13</f>
        <v>228458224</v>
      </c>
    </row>
    <row r="27" spans="1:13" ht="13.5" thickBot="1" x14ac:dyDescent="0.25">
      <c r="A27" s="964"/>
      <c r="B27" s="1380"/>
      <c r="C27" s="967"/>
      <c r="D27" s="967"/>
      <c r="E27" s="570"/>
      <c r="F27" s="575" t="s">
        <v>466</v>
      </c>
      <c r="G27" s="960">
        <v>44629516</v>
      </c>
      <c r="H27" s="588">
        <v>51488071</v>
      </c>
      <c r="I27" s="588">
        <v>51488071</v>
      </c>
      <c r="J27" s="517">
        <f t="shared" si="3"/>
        <v>100</v>
      </c>
    </row>
    <row r="28" spans="1:13" ht="13.5" thickBot="1" x14ac:dyDescent="0.25">
      <c r="A28" s="826" t="s">
        <v>288</v>
      </c>
      <c r="B28" s="965">
        <f>SUM(B20:B27)</f>
        <v>2431509045</v>
      </c>
      <c r="C28" s="965">
        <f>SUM(C20:C27)</f>
        <v>2449144943</v>
      </c>
      <c r="D28" s="965">
        <f>SUM(D20:D27)</f>
        <v>145852164</v>
      </c>
      <c r="E28" s="579">
        <f>SUM(D28/C28*100)</f>
        <v>5.9552279425873076</v>
      </c>
      <c r="F28" s="589" t="s">
        <v>289</v>
      </c>
      <c r="G28" s="968">
        <f>G19+G20+G21+G22+G23+G24+G25</f>
        <v>2431509045</v>
      </c>
      <c r="H28" s="968">
        <f>H19+H20+H21+H22+H23+H24+H25</f>
        <v>2449144943</v>
      </c>
      <c r="I28" s="968">
        <f>I19+I20+I21+I22+I23+I24+I25</f>
        <v>1171443136</v>
      </c>
      <c r="J28" s="578">
        <f>SUM(I28/H28*100)</f>
        <v>47.83069860149147</v>
      </c>
    </row>
    <row r="29" spans="1:13" ht="13.5" thickBot="1" x14ac:dyDescent="0.25">
      <c r="A29" s="513"/>
      <c r="B29" s="514"/>
      <c r="C29" s="514"/>
      <c r="D29" s="515"/>
      <c r="E29" s="578"/>
      <c r="F29" s="516"/>
      <c r="G29" s="514"/>
      <c r="H29" s="982"/>
      <c r="I29" s="988"/>
      <c r="J29" s="514"/>
    </row>
    <row r="30" spans="1:13" ht="13.5" thickBot="1" x14ac:dyDescent="0.25">
      <c r="A30" s="577" t="s">
        <v>290</v>
      </c>
      <c r="B30" s="578">
        <f>SUM(B16+B28)</f>
        <v>2935921799</v>
      </c>
      <c r="C30" s="578">
        <f>SUM(C16+C28)</f>
        <v>3435445344</v>
      </c>
      <c r="D30" s="578">
        <f>SUM(D16+D28)</f>
        <v>1169434740</v>
      </c>
      <c r="E30" s="578">
        <f>SUM(D30/C30*100)</f>
        <v>34.040266192632515</v>
      </c>
      <c r="F30" s="589" t="s">
        <v>290</v>
      </c>
      <c r="G30" s="578">
        <f>SUM(G16+G28)</f>
        <v>2935921799</v>
      </c>
      <c r="H30" s="981">
        <f>SUM(H16+H28)</f>
        <v>3435445344</v>
      </c>
      <c r="I30" s="981">
        <f>SUM(I16+I28)</f>
        <v>2094004273</v>
      </c>
      <c r="J30" s="578">
        <f>SUM(I30/H30*100)</f>
        <v>60.952920606266524</v>
      </c>
    </row>
    <row r="32" spans="1:13" x14ac:dyDescent="0.2">
      <c r="I32" s="989"/>
    </row>
  </sheetData>
  <mergeCells count="2">
    <mergeCell ref="A1:J1"/>
    <mergeCell ref="H3:J3"/>
  </mergeCells>
  <pageMargins left="0.51181102362204722" right="0.51181102362204722" top="0.74803149606299213" bottom="0.74803149606299213" header="0.31496062992125984" footer="0.31496062992125984"/>
  <pageSetup paperSize="9" scale="77" orientation="landscape" r:id="rId1"/>
  <headerFooter>
    <oddHeader>&amp;R6. sz. melléklet
......./2019.(V.30.) Önk rend.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zoomScaleNormal="100" workbookViewId="0">
      <selection activeCell="O28" sqref="O28"/>
    </sheetView>
  </sheetViews>
  <sheetFormatPr defaultColWidth="9.140625" defaultRowHeight="12.75" x14ac:dyDescent="0.2"/>
  <cols>
    <col min="1" max="1" width="3.42578125" style="375" customWidth="1"/>
    <col min="2" max="2" width="6.5703125" style="375" customWidth="1"/>
    <col min="3" max="3" width="68.7109375" style="375" customWidth="1"/>
    <col min="4" max="4" width="19.85546875" style="378" bestFit="1" customWidth="1"/>
    <col min="5" max="6" width="9.140625" style="375"/>
    <col min="7" max="7" width="12.5703125" style="375" customWidth="1"/>
    <col min="8" max="16384" width="9.140625" style="375"/>
  </cols>
  <sheetData>
    <row r="2" spans="2:7" x14ac:dyDescent="0.2">
      <c r="B2" s="1572" t="s">
        <v>448</v>
      </c>
      <c r="C2" s="1572"/>
      <c r="D2" s="1572"/>
    </row>
    <row r="3" spans="2:7" ht="15.75" x14ac:dyDescent="0.25">
      <c r="B3" s="1573" t="s">
        <v>543</v>
      </c>
      <c r="C3" s="1573"/>
      <c r="D3" s="1573"/>
      <c r="E3" s="376"/>
      <c r="F3" s="376"/>
    </row>
    <row r="4" spans="2:7" ht="15.75" x14ac:dyDescent="0.25">
      <c r="B4" s="377"/>
      <c r="C4" s="377"/>
      <c r="D4" s="377"/>
      <c r="E4" s="376"/>
      <c r="F4" s="376"/>
    </row>
    <row r="5" spans="2:7" ht="15.75" x14ac:dyDescent="0.25">
      <c r="B5" s="1574" t="s">
        <v>179</v>
      </c>
      <c r="C5" s="1574"/>
      <c r="D5" s="377"/>
      <c r="E5" s="376"/>
      <c r="F5" s="376"/>
    </row>
    <row r="6" spans="2:7" ht="15.75" x14ac:dyDescent="0.25">
      <c r="B6" s="377"/>
      <c r="C6" s="377"/>
      <c r="D6" s="377"/>
      <c r="E6" s="376"/>
      <c r="F6" s="376"/>
    </row>
    <row r="7" spans="2:7" ht="13.5" thickBot="1" x14ac:dyDescent="0.25">
      <c r="B7" s="1575" t="s">
        <v>459</v>
      </c>
      <c r="C7" s="1575"/>
      <c r="D7" s="1575"/>
      <c r="E7" s="378"/>
    </row>
    <row r="8" spans="2:7" ht="32.25" thickBot="1" x14ac:dyDescent="0.3">
      <c r="B8" s="379" t="s">
        <v>23</v>
      </c>
      <c r="C8" s="380" t="s">
        <v>180</v>
      </c>
      <c r="D8" s="381" t="s">
        <v>181</v>
      </c>
      <c r="G8" s="378"/>
    </row>
    <row r="9" spans="2:7" ht="15.75" x14ac:dyDescent="0.25">
      <c r="B9" s="382" t="s">
        <v>0</v>
      </c>
      <c r="C9" s="383" t="s">
        <v>292</v>
      </c>
      <c r="D9" s="384">
        <v>1906703850</v>
      </c>
    </row>
    <row r="10" spans="2:7" ht="16.5" thickBot="1" x14ac:dyDescent="0.3">
      <c r="B10" s="385" t="s">
        <v>4</v>
      </c>
      <c r="C10" s="386" t="s">
        <v>293</v>
      </c>
      <c r="D10" s="387">
        <v>880090931</v>
      </c>
    </row>
    <row r="11" spans="2:7" s="391" customFormat="1" ht="16.5" thickBot="1" x14ac:dyDescent="0.3">
      <c r="B11" s="388" t="s">
        <v>8</v>
      </c>
      <c r="C11" s="389" t="s">
        <v>294</v>
      </c>
      <c r="D11" s="390">
        <f>D9-D10</f>
        <v>1026612919</v>
      </c>
    </row>
    <row r="12" spans="2:7" s="395" customFormat="1" ht="15.75" x14ac:dyDescent="0.25">
      <c r="B12" s="392" t="s">
        <v>2</v>
      </c>
      <c r="C12" s="393" t="s">
        <v>295</v>
      </c>
      <c r="D12" s="394">
        <v>180932150</v>
      </c>
    </row>
    <row r="13" spans="2:7" s="391" customFormat="1" ht="16.5" thickBot="1" x14ac:dyDescent="0.3">
      <c r="B13" s="522" t="s">
        <v>5</v>
      </c>
      <c r="C13" s="386" t="s">
        <v>296</v>
      </c>
      <c r="D13" s="387">
        <v>155074226</v>
      </c>
    </row>
    <row r="14" spans="2:7" ht="16.5" thickBot="1" x14ac:dyDescent="0.3">
      <c r="B14" s="524" t="s">
        <v>9</v>
      </c>
      <c r="C14" s="525" t="s">
        <v>297</v>
      </c>
      <c r="D14" s="526">
        <f>D12-D13</f>
        <v>25857924</v>
      </c>
    </row>
    <row r="15" spans="2:7" s="396" customFormat="1" ht="15.75" x14ac:dyDescent="0.25">
      <c r="B15" s="527" t="s">
        <v>3</v>
      </c>
      <c r="C15" s="528" t="s">
        <v>298</v>
      </c>
      <c r="D15" s="529">
        <f>D11+D14</f>
        <v>1052470843</v>
      </c>
    </row>
    <row r="16" spans="2:7" s="395" customFormat="1" ht="15.75" x14ac:dyDescent="0.25">
      <c r="B16" s="397" t="s">
        <v>10</v>
      </c>
      <c r="C16" s="398" t="s">
        <v>299</v>
      </c>
      <c r="D16" s="399">
        <v>0</v>
      </c>
    </row>
    <row r="17" spans="2:4" s="395" customFormat="1" ht="16.5" thickBot="1" x14ac:dyDescent="0.3">
      <c r="B17" s="530" t="s">
        <v>6</v>
      </c>
      <c r="C17" s="531" t="s">
        <v>300</v>
      </c>
      <c r="D17" s="532">
        <v>0</v>
      </c>
    </row>
    <row r="18" spans="2:4" s="395" customFormat="1" ht="16.5" thickBot="1" x14ac:dyDescent="0.3">
      <c r="B18" s="533" t="s">
        <v>1</v>
      </c>
      <c r="C18" s="534" t="s">
        <v>301</v>
      </c>
      <c r="D18" s="535">
        <f>D16-D17</f>
        <v>0</v>
      </c>
    </row>
    <row r="19" spans="2:4" ht="15.75" x14ac:dyDescent="0.25">
      <c r="B19" s="536" t="s">
        <v>7</v>
      </c>
      <c r="C19" s="537" t="s">
        <v>302</v>
      </c>
      <c r="D19" s="538">
        <v>0</v>
      </c>
    </row>
    <row r="20" spans="2:4" ht="16.5" thickBot="1" x14ac:dyDescent="0.3">
      <c r="B20" s="530" t="s">
        <v>15</v>
      </c>
      <c r="C20" s="531" t="s">
        <v>303</v>
      </c>
      <c r="D20" s="532">
        <v>0</v>
      </c>
    </row>
    <row r="21" spans="2:4" s="391" customFormat="1" ht="16.5" thickBot="1" x14ac:dyDescent="0.3">
      <c r="B21" s="524" t="s">
        <v>13</v>
      </c>
      <c r="C21" s="525" t="s">
        <v>304</v>
      </c>
      <c r="D21" s="526">
        <f>D19-D20</f>
        <v>0</v>
      </c>
    </row>
    <row r="22" spans="2:4" s="391" customFormat="1" ht="16.5" thickBot="1" x14ac:dyDescent="0.3">
      <c r="B22" s="533" t="s">
        <v>25</v>
      </c>
      <c r="C22" s="534" t="s">
        <v>305</v>
      </c>
      <c r="D22" s="535">
        <f>D18+D21</f>
        <v>0</v>
      </c>
    </row>
    <row r="23" spans="2:4" s="391" customFormat="1" ht="16.5" thickBot="1" x14ac:dyDescent="0.3">
      <c r="B23" s="539" t="s">
        <v>28</v>
      </c>
      <c r="C23" s="540" t="s">
        <v>306</v>
      </c>
      <c r="D23" s="541">
        <f>D15+D22</f>
        <v>1052470843</v>
      </c>
    </row>
    <row r="24" spans="2:4" s="391" customFormat="1" ht="16.5" thickBot="1" x14ac:dyDescent="0.3">
      <c r="B24" s="542" t="s">
        <v>26</v>
      </c>
      <c r="C24" s="543" t="s">
        <v>307</v>
      </c>
      <c r="D24" s="544">
        <v>1052470843</v>
      </c>
    </row>
    <row r="25" spans="2:4" s="391" customFormat="1" ht="16.5" thickBot="1" x14ac:dyDescent="0.3">
      <c r="B25" s="403" t="s">
        <v>29</v>
      </c>
      <c r="C25" s="403" t="s">
        <v>308</v>
      </c>
      <c r="D25" s="404">
        <f>SUM(D23-D24)</f>
        <v>0</v>
      </c>
    </row>
    <row r="26" spans="2:4" s="391" customFormat="1" ht="16.5" thickBot="1" x14ac:dyDescent="0.3">
      <c r="B26" s="400" t="s">
        <v>30</v>
      </c>
      <c r="C26" s="401" t="s">
        <v>309</v>
      </c>
      <c r="D26" s="402">
        <f>D22*0.1</f>
        <v>0</v>
      </c>
    </row>
    <row r="27" spans="2:4" ht="16.5" thickBot="1" x14ac:dyDescent="0.3">
      <c r="B27" s="400" t="s">
        <v>31</v>
      </c>
      <c r="C27" s="401" t="s">
        <v>310</v>
      </c>
      <c r="D27" s="402">
        <f>D22-D26</f>
        <v>0</v>
      </c>
    </row>
  </sheetData>
  <mergeCells count="4">
    <mergeCell ref="B2:D2"/>
    <mergeCell ref="B3:D3"/>
    <mergeCell ref="B5:C5"/>
    <mergeCell ref="B7:D7"/>
  </mergeCells>
  <pageMargins left="0.75" right="0.75" top="1" bottom="1" header="0.5" footer="0.51180555555555562"/>
  <pageSetup paperSize="9" scale="89" firstPageNumber="0" orientation="portrait" horizontalDpi="300" verticalDpi="300" r:id="rId1"/>
  <headerFooter alignWithMargins="0">
    <oddHeader>&amp;R7.1.sz. melléklet
......./2019.(V.30.)Egyek Önk.r.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zoomScaleNormal="100" workbookViewId="0">
      <selection activeCell="D13" sqref="D13"/>
    </sheetView>
  </sheetViews>
  <sheetFormatPr defaultColWidth="9.140625" defaultRowHeight="12.75" x14ac:dyDescent="0.2"/>
  <cols>
    <col min="1" max="1" width="3.140625" style="375" customWidth="1"/>
    <col min="2" max="2" width="6.5703125" style="375" customWidth="1"/>
    <col min="3" max="3" width="65.140625" style="375" customWidth="1"/>
    <col min="4" max="4" width="18.140625" style="378" customWidth="1"/>
    <col min="5" max="6" width="9.140625" style="375"/>
    <col min="7" max="7" width="12.5703125" style="375" customWidth="1"/>
    <col min="8" max="16384" width="9.140625" style="375"/>
  </cols>
  <sheetData>
    <row r="2" spans="2:7" x14ac:dyDescent="0.2">
      <c r="B2" s="1572" t="s">
        <v>449</v>
      </c>
      <c r="C2" s="1572"/>
      <c r="D2" s="1572"/>
    </row>
    <row r="3" spans="2:7" ht="15.75" x14ac:dyDescent="0.25">
      <c r="B3" s="1573" t="s">
        <v>543</v>
      </c>
      <c r="C3" s="1573"/>
      <c r="D3" s="1573"/>
      <c r="E3" s="376"/>
      <c r="F3" s="376"/>
    </row>
    <row r="4" spans="2:7" ht="15.75" x14ac:dyDescent="0.25">
      <c r="B4" s="377"/>
      <c r="C4" s="377"/>
      <c r="D4" s="377"/>
      <c r="E4" s="376"/>
      <c r="F4" s="376"/>
    </row>
    <row r="5" spans="2:7" ht="15.75" x14ac:dyDescent="0.25">
      <c r="B5" s="1574" t="s">
        <v>451</v>
      </c>
      <c r="C5" s="1574"/>
      <c r="D5" s="377"/>
      <c r="E5" s="376"/>
      <c r="F5" s="376"/>
    </row>
    <row r="6" spans="2:7" ht="15.75" x14ac:dyDescent="0.25">
      <c r="B6" s="439"/>
      <c r="C6" s="439"/>
      <c r="D6" s="377"/>
      <c r="E6" s="376"/>
      <c r="F6" s="376"/>
    </row>
    <row r="7" spans="2:7" ht="16.5" thickBot="1" x14ac:dyDescent="0.3">
      <c r="B7" s="377"/>
      <c r="C7" s="1576" t="s">
        <v>184</v>
      </c>
      <c r="D7" s="1576"/>
      <c r="E7" s="376"/>
      <c r="F7" s="376"/>
    </row>
    <row r="8" spans="2:7" ht="32.25" thickBot="1" x14ac:dyDescent="0.3">
      <c r="B8" s="379" t="s">
        <v>23</v>
      </c>
      <c r="C8" s="380" t="s">
        <v>180</v>
      </c>
      <c r="D8" s="381" t="s">
        <v>181</v>
      </c>
      <c r="E8" s="378"/>
    </row>
    <row r="9" spans="2:7" ht="15.75" x14ac:dyDescent="0.25">
      <c r="B9" s="382" t="s">
        <v>0</v>
      </c>
      <c r="C9" s="383" t="s">
        <v>292</v>
      </c>
      <c r="D9" s="384">
        <v>5300774</v>
      </c>
      <c r="G9" s="378"/>
    </row>
    <row r="10" spans="2:7" ht="16.5" thickBot="1" x14ac:dyDescent="0.3">
      <c r="B10" s="385" t="s">
        <v>4</v>
      </c>
      <c r="C10" s="386" t="s">
        <v>293</v>
      </c>
      <c r="D10" s="387">
        <v>120930829</v>
      </c>
    </row>
    <row r="11" spans="2:7" ht="16.5" thickBot="1" x14ac:dyDescent="0.3">
      <c r="B11" s="388" t="s">
        <v>8</v>
      </c>
      <c r="C11" s="389" t="s">
        <v>294</v>
      </c>
      <c r="D11" s="390">
        <f>D9-D10</f>
        <v>-115630055</v>
      </c>
    </row>
    <row r="12" spans="2:7" s="391" customFormat="1" ht="15.75" x14ac:dyDescent="0.25">
      <c r="B12" s="392" t="s">
        <v>2</v>
      </c>
      <c r="C12" s="393" t="s">
        <v>295</v>
      </c>
      <c r="D12" s="394">
        <v>115630055</v>
      </c>
    </row>
    <row r="13" spans="2:7" s="395" customFormat="1" ht="16.5" thickBot="1" x14ac:dyDescent="0.3">
      <c r="B13" s="522" t="s">
        <v>5</v>
      </c>
      <c r="C13" s="386" t="s">
        <v>296</v>
      </c>
      <c r="D13" s="750">
        <v>0</v>
      </c>
    </row>
    <row r="14" spans="2:7" s="391" customFormat="1" ht="16.5" thickBot="1" x14ac:dyDescent="0.3">
      <c r="B14" s="524" t="s">
        <v>9</v>
      </c>
      <c r="C14" s="525" t="s">
        <v>297</v>
      </c>
      <c r="D14" s="526">
        <f>D12-D13</f>
        <v>115630055</v>
      </c>
    </row>
    <row r="15" spans="2:7" ht="15.75" x14ac:dyDescent="0.25">
      <c r="B15" s="527" t="s">
        <v>3</v>
      </c>
      <c r="C15" s="528" t="s">
        <v>298</v>
      </c>
      <c r="D15" s="529">
        <f>D11+D14</f>
        <v>0</v>
      </c>
    </row>
    <row r="16" spans="2:7" s="396" customFormat="1" ht="15.75" x14ac:dyDescent="0.25">
      <c r="B16" s="397" t="s">
        <v>10</v>
      </c>
      <c r="C16" s="398" t="s">
        <v>299</v>
      </c>
      <c r="D16" s="399">
        <v>0</v>
      </c>
    </row>
    <row r="17" spans="2:4" s="395" customFormat="1" ht="16.5" thickBot="1" x14ac:dyDescent="0.3">
      <c r="B17" s="530" t="s">
        <v>6</v>
      </c>
      <c r="C17" s="531" t="s">
        <v>300</v>
      </c>
      <c r="D17" s="532">
        <v>0</v>
      </c>
    </row>
    <row r="18" spans="2:4" s="395" customFormat="1" ht="16.5" thickBot="1" x14ac:dyDescent="0.3">
      <c r="B18" s="533" t="s">
        <v>1</v>
      </c>
      <c r="C18" s="534" t="s">
        <v>301</v>
      </c>
      <c r="D18" s="535">
        <f>D16-D17</f>
        <v>0</v>
      </c>
    </row>
    <row r="19" spans="2:4" s="395" customFormat="1" ht="15.75" x14ac:dyDescent="0.25">
      <c r="B19" s="536" t="s">
        <v>7</v>
      </c>
      <c r="C19" s="537" t="s">
        <v>302</v>
      </c>
      <c r="D19" s="538">
        <v>0</v>
      </c>
    </row>
    <row r="20" spans="2:4" ht="16.5" thickBot="1" x14ac:dyDescent="0.3">
      <c r="B20" s="530" t="s">
        <v>15</v>
      </c>
      <c r="C20" s="531" t="s">
        <v>303</v>
      </c>
      <c r="D20" s="532">
        <v>0</v>
      </c>
    </row>
    <row r="21" spans="2:4" ht="16.5" thickBot="1" x14ac:dyDescent="0.3">
      <c r="B21" s="524" t="s">
        <v>13</v>
      </c>
      <c r="C21" s="525" t="s">
        <v>304</v>
      </c>
      <c r="D21" s="526">
        <f>D19-D20</f>
        <v>0</v>
      </c>
    </row>
    <row r="22" spans="2:4" s="391" customFormat="1" ht="16.5" thickBot="1" x14ac:dyDescent="0.3">
      <c r="B22" s="533" t="s">
        <v>25</v>
      </c>
      <c r="C22" s="534" t="s">
        <v>305</v>
      </c>
      <c r="D22" s="535">
        <f>D18+D21</f>
        <v>0</v>
      </c>
    </row>
    <row r="23" spans="2:4" s="391" customFormat="1" ht="16.5" thickBot="1" x14ac:dyDescent="0.3">
      <c r="B23" s="539" t="s">
        <v>28</v>
      </c>
      <c r="C23" s="540" t="s">
        <v>306</v>
      </c>
      <c r="D23" s="541">
        <f>D15+D22</f>
        <v>0</v>
      </c>
    </row>
    <row r="24" spans="2:4" s="391" customFormat="1" ht="16.5" thickBot="1" x14ac:dyDescent="0.3">
      <c r="B24" s="542" t="s">
        <v>26</v>
      </c>
      <c r="C24" s="543" t="s">
        <v>307</v>
      </c>
      <c r="D24" s="544">
        <v>0</v>
      </c>
    </row>
    <row r="25" spans="2:4" s="391" customFormat="1" ht="16.5" thickBot="1" x14ac:dyDescent="0.3">
      <c r="B25" s="403" t="s">
        <v>29</v>
      </c>
      <c r="C25" s="403" t="s">
        <v>308</v>
      </c>
      <c r="D25" s="404"/>
    </row>
    <row r="26" spans="2:4" ht="16.5" thickBot="1" x14ac:dyDescent="0.3">
      <c r="B26" s="400" t="s">
        <v>30</v>
      </c>
      <c r="C26" s="401" t="s">
        <v>309</v>
      </c>
      <c r="D26" s="402">
        <f>D22*0.1</f>
        <v>0</v>
      </c>
    </row>
    <row r="27" spans="2:4" ht="16.5" thickBot="1" x14ac:dyDescent="0.3">
      <c r="B27" s="400" t="s">
        <v>31</v>
      </c>
      <c r="C27" s="401" t="s">
        <v>310</v>
      </c>
      <c r="D27" s="402">
        <f>D22-D26</f>
        <v>0</v>
      </c>
    </row>
  </sheetData>
  <mergeCells count="4">
    <mergeCell ref="B2:D2"/>
    <mergeCell ref="B3:D3"/>
    <mergeCell ref="B5:C5"/>
    <mergeCell ref="C7:D7"/>
  </mergeCells>
  <pageMargins left="0.75" right="0.51531249999999995" top="1" bottom="1" header="0.5" footer="0.51180555555555562"/>
  <pageSetup paperSize="9" scale="97" firstPageNumber="0" orientation="portrait" horizontalDpi="300" verticalDpi="300" r:id="rId1"/>
  <headerFooter alignWithMargins="0">
    <oddHeader>&amp;R7.2.sz. melléklet
...../2019.(V.30.)Egyek Önk.r.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6"/>
  <sheetViews>
    <sheetView topLeftCell="A234" zoomScale="130" zoomScaleNormal="130" workbookViewId="0">
      <selection activeCell="D249" sqref="D249"/>
    </sheetView>
  </sheetViews>
  <sheetFormatPr defaultRowHeight="12.75" x14ac:dyDescent="0.2"/>
  <cols>
    <col min="1" max="1" width="37.5703125" style="1340" customWidth="1"/>
    <col min="2" max="2" width="27.5703125" style="24" customWidth="1"/>
    <col min="3" max="3" width="18.5703125" style="24" customWidth="1"/>
    <col min="4" max="4" width="17" style="630" customWidth="1"/>
    <col min="5" max="5" width="19" style="631" bestFit="1" customWidth="1"/>
    <col min="6" max="6" width="20.42578125" style="630" customWidth="1"/>
    <col min="7" max="7" width="15.5703125" style="604" customWidth="1"/>
    <col min="8" max="9" width="17.42578125" customWidth="1"/>
    <col min="10" max="10" width="17.85546875" customWidth="1"/>
  </cols>
  <sheetData>
    <row r="1" spans="1:10" ht="15.75" customHeight="1" x14ac:dyDescent="0.2">
      <c r="A1" s="1492" t="s">
        <v>562</v>
      </c>
      <c r="B1" s="1492"/>
      <c r="C1" s="1492"/>
      <c r="D1" s="1492"/>
      <c r="E1" s="1492"/>
      <c r="F1" s="1492"/>
      <c r="G1" s="1492"/>
      <c r="H1" s="177"/>
      <c r="I1" s="177"/>
      <c r="J1" s="177"/>
    </row>
    <row r="2" spans="1:10" ht="12.75" customHeight="1" x14ac:dyDescent="0.2">
      <c r="A2" s="1303"/>
      <c r="B2" s="625"/>
      <c r="C2" s="625"/>
      <c r="D2" s="629"/>
      <c r="E2" s="629"/>
      <c r="F2" s="629"/>
      <c r="G2" s="626"/>
      <c r="H2" s="177"/>
      <c r="I2" s="177"/>
      <c r="J2" s="177"/>
    </row>
    <row r="3" spans="1:10" ht="13.5" thickBot="1" x14ac:dyDescent="0.25">
      <c r="F3" s="1304" t="s">
        <v>184</v>
      </c>
      <c r="G3" s="990"/>
    </row>
    <row r="4" spans="1:10" ht="16.5" thickBot="1" x14ac:dyDescent="0.3">
      <c r="A4" s="1341" t="s">
        <v>72</v>
      </c>
      <c r="B4" s="632" t="s">
        <v>151</v>
      </c>
      <c r="C4" s="633" t="s">
        <v>147</v>
      </c>
      <c r="D4" s="634" t="s">
        <v>152</v>
      </c>
      <c r="E4" s="634" t="s">
        <v>149</v>
      </c>
      <c r="F4" s="635" t="s">
        <v>150</v>
      </c>
    </row>
    <row r="5" spans="1:10" ht="24" x14ac:dyDescent="0.2">
      <c r="A5" s="1493" t="s">
        <v>165</v>
      </c>
      <c r="B5" s="1118" t="s">
        <v>52</v>
      </c>
      <c r="C5" s="1316"/>
      <c r="D5" s="638">
        <v>1303451</v>
      </c>
      <c r="E5" s="639">
        <v>3206891</v>
      </c>
      <c r="F5" s="677">
        <f>E5/D5*100</f>
        <v>246.03080591445323</v>
      </c>
    </row>
    <row r="6" spans="1:10" ht="36" x14ac:dyDescent="0.2">
      <c r="A6" s="1493"/>
      <c r="B6" s="1120" t="s">
        <v>57</v>
      </c>
      <c r="C6" s="1313"/>
      <c r="D6" s="643"/>
      <c r="E6" s="644">
        <v>5500000</v>
      </c>
      <c r="F6" s="645"/>
    </row>
    <row r="7" spans="1:10" x14ac:dyDescent="0.2">
      <c r="A7" s="1493"/>
      <c r="B7" s="1120" t="s">
        <v>70</v>
      </c>
      <c r="C7" s="1313"/>
      <c r="D7" s="643"/>
      <c r="E7" s="644"/>
      <c r="F7" s="645"/>
    </row>
    <row r="8" spans="1:10" x14ac:dyDescent="0.2">
      <c r="A8" s="1493"/>
      <c r="B8" s="1120" t="s">
        <v>50</v>
      </c>
      <c r="C8" s="1313">
        <v>146000</v>
      </c>
      <c r="D8" s="643">
        <v>4290359</v>
      </c>
      <c r="E8" s="644">
        <v>4048494</v>
      </c>
      <c r="F8" s="679"/>
    </row>
    <row r="9" spans="1:10" x14ac:dyDescent="0.2">
      <c r="A9" s="1493"/>
      <c r="B9" s="1120" t="s">
        <v>71</v>
      </c>
      <c r="C9" s="1313"/>
      <c r="D9" s="643"/>
      <c r="E9" s="644"/>
      <c r="F9" s="645"/>
    </row>
    <row r="10" spans="1:10" ht="24" x14ac:dyDescent="0.2">
      <c r="A10" s="1493"/>
      <c r="B10" s="1120" t="s">
        <v>68</v>
      </c>
      <c r="C10" s="1313"/>
      <c r="D10" s="643"/>
      <c r="E10" s="644"/>
      <c r="F10" s="645"/>
    </row>
    <row r="11" spans="1:10" ht="24" x14ac:dyDescent="0.2">
      <c r="A11" s="1493"/>
      <c r="B11" s="1120" t="s">
        <v>59</v>
      </c>
      <c r="C11" s="1319"/>
      <c r="D11" s="643"/>
      <c r="E11" s="644"/>
      <c r="F11" s="679"/>
    </row>
    <row r="12" spans="1:10" x14ac:dyDescent="0.2">
      <c r="A12" s="1493"/>
      <c r="B12" s="1120" t="s">
        <v>66</v>
      </c>
      <c r="C12" s="1313">
        <v>6004541</v>
      </c>
      <c r="D12" s="643">
        <v>12863096</v>
      </c>
      <c r="E12" s="644"/>
      <c r="F12" s="645"/>
    </row>
    <row r="13" spans="1:10" ht="13.5" thickBot="1" x14ac:dyDescent="0.25">
      <c r="A13" s="1494"/>
      <c r="B13" s="1121" t="s">
        <v>11</v>
      </c>
      <c r="C13" s="1122">
        <f>SUM(C5:C12)</f>
        <v>6150541</v>
      </c>
      <c r="D13" s="649">
        <f>SUM(D5:D12)</f>
        <v>18456906</v>
      </c>
      <c r="E13" s="649">
        <f>SUM(E5:E12)</f>
        <v>12755385</v>
      </c>
      <c r="F13" s="650">
        <f>E13/D13*100</f>
        <v>69.109009928316269</v>
      </c>
    </row>
    <row r="14" spans="1:10" ht="24" x14ac:dyDescent="0.2">
      <c r="A14" s="1493" t="s">
        <v>79</v>
      </c>
      <c r="B14" s="1317" t="s">
        <v>52</v>
      </c>
      <c r="C14" s="1318"/>
      <c r="D14" s="665"/>
      <c r="E14" s="666"/>
      <c r="F14" s="667"/>
    </row>
    <row r="15" spans="1:10" ht="36" x14ac:dyDescent="0.2">
      <c r="A15" s="1493"/>
      <c r="B15" s="1120" t="s">
        <v>57</v>
      </c>
      <c r="C15" s="1313"/>
      <c r="D15" s="643"/>
      <c r="E15" s="644"/>
      <c r="F15" s="645"/>
    </row>
    <row r="16" spans="1:10" x14ac:dyDescent="0.2">
      <c r="A16" s="1493"/>
      <c r="B16" s="1120" t="s">
        <v>70</v>
      </c>
      <c r="C16" s="1313"/>
      <c r="D16" s="643"/>
      <c r="E16" s="644"/>
      <c r="F16" s="645"/>
    </row>
    <row r="17" spans="1:6" customFormat="1" x14ac:dyDescent="0.2">
      <c r="A17" s="1493"/>
      <c r="B17" s="1120" t="s">
        <v>50</v>
      </c>
      <c r="C17" s="1313">
        <v>720000</v>
      </c>
      <c r="D17" s="643">
        <v>1805000</v>
      </c>
      <c r="E17" s="644">
        <v>1810865</v>
      </c>
      <c r="F17" s="679">
        <f>E17/D17*100</f>
        <v>100.32493074792244</v>
      </c>
    </row>
    <row r="18" spans="1:6" customFormat="1" x14ac:dyDescent="0.2">
      <c r="A18" s="1493"/>
      <c r="B18" s="1120" t="s">
        <v>71</v>
      </c>
      <c r="C18" s="1313"/>
      <c r="D18" s="643"/>
      <c r="E18" s="644"/>
      <c r="F18" s="645"/>
    </row>
    <row r="19" spans="1:6" customFormat="1" ht="24" x14ac:dyDescent="0.2">
      <c r="A19" s="1493"/>
      <c r="B19" s="1120" t="s">
        <v>68</v>
      </c>
      <c r="C19" s="1313"/>
      <c r="D19" s="643"/>
      <c r="E19" s="644"/>
      <c r="F19" s="645"/>
    </row>
    <row r="20" spans="1:6" customFormat="1" ht="24" x14ac:dyDescent="0.2">
      <c r="A20" s="1493"/>
      <c r="B20" s="1120" t="s">
        <v>59</v>
      </c>
      <c r="C20" s="1314"/>
      <c r="D20" s="651"/>
      <c r="E20" s="652"/>
      <c r="F20" s="653"/>
    </row>
    <row r="21" spans="1:6" customFormat="1" x14ac:dyDescent="0.2">
      <c r="A21" s="1493"/>
      <c r="B21" s="1120" t="s">
        <v>66</v>
      </c>
      <c r="C21" s="1315"/>
      <c r="D21" s="651"/>
      <c r="E21" s="652"/>
      <c r="F21" s="653"/>
    </row>
    <row r="22" spans="1:6" customFormat="1" ht="13.5" thickBot="1" x14ac:dyDescent="0.25">
      <c r="A22" s="1494"/>
      <c r="B22" s="1121" t="s">
        <v>11</v>
      </c>
      <c r="C22" s="1122">
        <f>SUM(C14:C21)</f>
        <v>720000</v>
      </c>
      <c r="D22" s="649">
        <f>SUM(D14:D21)</f>
        <v>1805000</v>
      </c>
      <c r="E22" s="649">
        <f>SUM(E14:E21)</f>
        <v>1810865</v>
      </c>
      <c r="F22" s="650">
        <f>E22/D22*100</f>
        <v>100.32493074792244</v>
      </c>
    </row>
    <row r="23" spans="1:6" customFormat="1" ht="24" x14ac:dyDescent="0.2">
      <c r="A23" s="1495" t="s">
        <v>73</v>
      </c>
      <c r="B23" s="654" t="s">
        <v>52</v>
      </c>
      <c r="C23" s="664"/>
      <c r="D23" s="665"/>
      <c r="E23" s="666"/>
      <c r="F23" s="665"/>
    </row>
    <row r="24" spans="1:6" customFormat="1" ht="36" x14ac:dyDescent="0.2">
      <c r="A24" s="1495"/>
      <c r="B24" s="641" t="s">
        <v>57</v>
      </c>
      <c r="C24" s="642"/>
      <c r="D24" s="643"/>
      <c r="E24" s="644"/>
      <c r="F24" s="643"/>
    </row>
    <row r="25" spans="1:6" customFormat="1" x14ac:dyDescent="0.2">
      <c r="A25" s="1495"/>
      <c r="B25" s="641" t="s">
        <v>70</v>
      </c>
      <c r="C25" s="642"/>
      <c r="D25" s="643"/>
      <c r="E25" s="644"/>
      <c r="F25" s="643"/>
    </row>
    <row r="26" spans="1:6" customFormat="1" x14ac:dyDescent="0.2">
      <c r="A26" s="1495"/>
      <c r="B26" s="641" t="s">
        <v>50</v>
      </c>
      <c r="C26" s="642">
        <v>28026820</v>
      </c>
      <c r="D26" s="643">
        <v>49160680</v>
      </c>
      <c r="E26" s="644">
        <v>36762799</v>
      </c>
      <c r="F26" s="644">
        <f>E26/D26*100</f>
        <v>74.780900101463203</v>
      </c>
    </row>
    <row r="27" spans="1:6" customFormat="1" x14ac:dyDescent="0.2">
      <c r="A27" s="1495"/>
      <c r="B27" s="641" t="s">
        <v>71</v>
      </c>
      <c r="C27" s="642">
        <v>5179650</v>
      </c>
      <c r="D27" s="643">
        <v>11762468</v>
      </c>
      <c r="E27" s="644">
        <v>3046456</v>
      </c>
      <c r="F27" s="644">
        <f>E27/D27*100</f>
        <v>25.899802660462072</v>
      </c>
    </row>
    <row r="28" spans="1:6" customFormat="1" ht="24" x14ac:dyDescent="0.2">
      <c r="A28" s="1495"/>
      <c r="B28" s="641" t="s">
        <v>68</v>
      </c>
      <c r="C28" s="642">
        <v>7834004</v>
      </c>
      <c r="D28" s="643">
        <v>7834004</v>
      </c>
      <c r="E28" s="644">
        <v>7834004</v>
      </c>
      <c r="F28" s="644">
        <f>E28/D28*100</f>
        <v>100</v>
      </c>
    </row>
    <row r="29" spans="1:6" customFormat="1" ht="24" x14ac:dyDescent="0.2">
      <c r="A29" s="1495"/>
      <c r="B29" s="641" t="s">
        <v>59</v>
      </c>
      <c r="C29" s="646"/>
      <c r="D29" s="643"/>
      <c r="E29" s="644"/>
      <c r="F29" s="643"/>
    </row>
    <row r="30" spans="1:6" customFormat="1" x14ac:dyDescent="0.2">
      <c r="A30" s="1495"/>
      <c r="B30" s="641" t="s">
        <v>66</v>
      </c>
      <c r="C30" s="642">
        <v>34820584</v>
      </c>
      <c r="D30" s="643">
        <v>34820584</v>
      </c>
      <c r="E30" s="644"/>
      <c r="F30" s="645"/>
    </row>
    <row r="31" spans="1:6" customFormat="1" ht="13.5" thickBot="1" x14ac:dyDescent="0.25">
      <c r="A31" s="1496"/>
      <c r="B31" s="647" t="s">
        <v>11</v>
      </c>
      <c r="C31" s="648">
        <f>SUM(C23:C30)</f>
        <v>75861058</v>
      </c>
      <c r="D31" s="648">
        <f>SUM(D23:D30)</f>
        <v>103577736</v>
      </c>
      <c r="E31" s="648">
        <f>SUM(E23:E30)</f>
        <v>47643259</v>
      </c>
      <c r="F31" s="650">
        <f>E31/D31*100</f>
        <v>45.997586778687648</v>
      </c>
    </row>
    <row r="32" spans="1:6" customFormat="1" ht="24" x14ac:dyDescent="0.2">
      <c r="A32" s="1495" t="s">
        <v>74</v>
      </c>
      <c r="B32" s="654" t="s">
        <v>52</v>
      </c>
      <c r="C32" s="637">
        <v>341295150</v>
      </c>
      <c r="D32" s="638">
        <v>295290387</v>
      </c>
      <c r="E32" s="639">
        <v>295290387</v>
      </c>
      <c r="F32" s="644">
        <f>E32/D32*100</f>
        <v>100</v>
      </c>
    </row>
    <row r="33" spans="1:6" customFormat="1" ht="36" x14ac:dyDescent="0.2">
      <c r="A33" s="1495"/>
      <c r="B33" s="641" t="s">
        <v>57</v>
      </c>
      <c r="C33" s="642"/>
      <c r="D33" s="643">
        <v>39256370</v>
      </c>
      <c r="E33" s="644">
        <v>39256370</v>
      </c>
      <c r="F33" s="645">
        <f>E33/D33*100</f>
        <v>100</v>
      </c>
    </row>
    <row r="34" spans="1:6" customFormat="1" x14ac:dyDescent="0.2">
      <c r="A34" s="1495"/>
      <c r="B34" s="641" t="s">
        <v>70</v>
      </c>
      <c r="C34" s="642"/>
      <c r="D34" s="643"/>
      <c r="E34" s="644"/>
      <c r="F34" s="645"/>
    </row>
    <row r="35" spans="1:6" customFormat="1" x14ac:dyDescent="0.2">
      <c r="A35" s="1495"/>
      <c r="B35" s="641" t="s">
        <v>50</v>
      </c>
      <c r="C35" s="642"/>
      <c r="D35" s="643"/>
      <c r="E35" s="644"/>
      <c r="F35" s="645"/>
    </row>
    <row r="36" spans="1:6" customFormat="1" x14ac:dyDescent="0.2">
      <c r="A36" s="1495"/>
      <c r="B36" s="641" t="s">
        <v>71</v>
      </c>
      <c r="C36" s="642"/>
      <c r="D36" s="643"/>
      <c r="E36" s="644"/>
      <c r="F36" s="645"/>
    </row>
    <row r="37" spans="1:6" customFormat="1" ht="24" x14ac:dyDescent="0.2">
      <c r="A37" s="1495"/>
      <c r="B37" s="641" t="s">
        <v>68</v>
      </c>
      <c r="C37" s="642"/>
      <c r="D37" s="643"/>
      <c r="E37" s="644"/>
      <c r="F37" s="645"/>
    </row>
    <row r="38" spans="1:6" customFormat="1" ht="24" x14ac:dyDescent="0.2">
      <c r="A38" s="1495"/>
      <c r="B38" s="641" t="s">
        <v>59</v>
      </c>
      <c r="C38" s="646"/>
      <c r="D38" s="643"/>
      <c r="E38" s="644"/>
      <c r="F38" s="645"/>
    </row>
    <row r="39" spans="1:6" customFormat="1" x14ac:dyDescent="0.2">
      <c r="A39" s="1495"/>
      <c r="B39" s="641" t="s">
        <v>66</v>
      </c>
      <c r="C39" s="642">
        <v>11049981</v>
      </c>
      <c r="D39" s="643">
        <v>19607382</v>
      </c>
      <c r="E39" s="644">
        <v>18685917</v>
      </c>
      <c r="F39" s="645">
        <f t="shared" ref="F39" si="0">E39/D39*100</f>
        <v>95.300417975229948</v>
      </c>
    </row>
    <row r="40" spans="1:6" customFormat="1" ht="13.5" thickBot="1" x14ac:dyDescent="0.25">
      <c r="A40" s="1496"/>
      <c r="B40" s="647" t="s">
        <v>11</v>
      </c>
      <c r="C40" s="655">
        <f>SUM(C32:C39)</f>
        <v>352345131</v>
      </c>
      <c r="D40" s="656">
        <f>SUM(D32:D39)</f>
        <v>354154139</v>
      </c>
      <c r="E40" s="656">
        <f>SUM(E32:E39)</f>
        <v>353232674</v>
      </c>
      <c r="F40" s="657">
        <f>E40/D40*100</f>
        <v>99.739812443643359</v>
      </c>
    </row>
    <row r="41" spans="1:6" customFormat="1" ht="24" x14ac:dyDescent="0.2">
      <c r="A41" s="1485" t="s">
        <v>313</v>
      </c>
      <c r="B41" s="658" t="s">
        <v>52</v>
      </c>
      <c r="C41" s="676"/>
      <c r="D41" s="991"/>
      <c r="E41" s="991"/>
      <c r="F41" s="645" t="e">
        <f>E41/D41*100</f>
        <v>#DIV/0!</v>
      </c>
    </row>
    <row r="42" spans="1:6" customFormat="1" ht="36" x14ac:dyDescent="0.2">
      <c r="A42" s="1486"/>
      <c r="B42" s="658" t="s">
        <v>57</v>
      </c>
      <c r="C42" s="678"/>
      <c r="D42" s="992"/>
      <c r="E42" s="992"/>
      <c r="F42" s="660"/>
    </row>
    <row r="43" spans="1:6" customFormat="1" x14ac:dyDescent="0.2">
      <c r="A43" s="1486"/>
      <c r="B43" s="658" t="s">
        <v>70</v>
      </c>
      <c r="C43" s="678"/>
      <c r="D43" s="992"/>
      <c r="E43" s="992"/>
      <c r="F43" s="660"/>
    </row>
    <row r="44" spans="1:6" customFormat="1" x14ac:dyDescent="0.2">
      <c r="A44" s="1486"/>
      <c r="B44" s="658" t="s">
        <v>50</v>
      </c>
      <c r="C44" s="678"/>
      <c r="D44" s="992"/>
      <c r="E44" s="992"/>
      <c r="F44" s="660"/>
    </row>
    <row r="45" spans="1:6" customFormat="1" x14ac:dyDescent="0.2">
      <c r="A45" s="1486"/>
      <c r="B45" s="658" t="s">
        <v>71</v>
      </c>
      <c r="C45" s="678"/>
      <c r="D45" s="992"/>
      <c r="E45" s="992"/>
      <c r="F45" s="660"/>
    </row>
    <row r="46" spans="1:6" customFormat="1" ht="24" x14ac:dyDescent="0.2">
      <c r="A46" s="1486"/>
      <c r="B46" s="658" t="s">
        <v>68</v>
      </c>
      <c r="C46" s="678"/>
      <c r="D46" s="992"/>
      <c r="E46" s="992"/>
      <c r="F46" s="660"/>
    </row>
    <row r="47" spans="1:6" customFormat="1" ht="24" x14ac:dyDescent="0.2">
      <c r="A47" s="1486"/>
      <c r="B47" s="658" t="s">
        <v>59</v>
      </c>
      <c r="C47" s="678"/>
      <c r="D47" s="992"/>
      <c r="E47" s="992"/>
      <c r="F47" s="660"/>
    </row>
    <row r="48" spans="1:6" customFormat="1" x14ac:dyDescent="0.2">
      <c r="A48" s="1486"/>
      <c r="B48" s="658" t="s">
        <v>66</v>
      </c>
      <c r="C48" s="678"/>
      <c r="D48" s="992"/>
      <c r="E48" s="992">
        <v>162246233</v>
      </c>
      <c r="F48" s="645"/>
    </row>
    <row r="49" spans="1:6" customFormat="1" ht="13.5" thickBot="1" x14ac:dyDescent="0.25">
      <c r="A49" s="1488"/>
      <c r="B49" s="661" t="s">
        <v>11</v>
      </c>
      <c r="C49" s="662">
        <f>SUM(C41:C48)</f>
        <v>0</v>
      </c>
      <c r="D49" s="662">
        <f>SUM(D41:D48)</f>
        <v>0</v>
      </c>
      <c r="E49" s="662">
        <f>SUM(E41:E48)</f>
        <v>162246233</v>
      </c>
      <c r="F49" s="660" t="e">
        <f>E49/D49*100</f>
        <v>#DIV/0!</v>
      </c>
    </row>
    <row r="50" spans="1:6" customFormat="1" ht="16.5" thickBot="1" x14ac:dyDescent="0.3">
      <c r="A50" s="1341" t="s">
        <v>72</v>
      </c>
      <c r="B50" s="632" t="s">
        <v>151</v>
      </c>
      <c r="C50" s="633" t="s">
        <v>147</v>
      </c>
      <c r="D50" s="634" t="s">
        <v>152</v>
      </c>
      <c r="E50" s="634" t="s">
        <v>149</v>
      </c>
      <c r="F50" s="635" t="s">
        <v>150</v>
      </c>
    </row>
    <row r="51" spans="1:6" customFormat="1" ht="24" x14ac:dyDescent="0.2">
      <c r="A51" s="1485" t="s">
        <v>423</v>
      </c>
      <c r="B51" s="636" t="s">
        <v>52</v>
      </c>
      <c r="C51" s="637"/>
      <c r="D51" s="638">
        <v>27443748</v>
      </c>
      <c r="E51" s="639">
        <v>43572140</v>
      </c>
      <c r="F51" s="645">
        <f>E51/D51*100</f>
        <v>158.7689115932707</v>
      </c>
    </row>
    <row r="52" spans="1:6" customFormat="1" ht="36" x14ac:dyDescent="0.2">
      <c r="A52" s="1486"/>
      <c r="B52" s="641" t="s">
        <v>57</v>
      </c>
      <c r="C52" s="642"/>
      <c r="D52" s="643"/>
      <c r="E52" s="644"/>
      <c r="F52" s="645"/>
    </row>
    <row r="53" spans="1:6" customFormat="1" x14ac:dyDescent="0.2">
      <c r="A53" s="1486"/>
      <c r="B53" s="641" t="s">
        <v>70</v>
      </c>
      <c r="C53" s="642"/>
      <c r="D53" s="643"/>
      <c r="E53" s="644"/>
      <c r="F53" s="645"/>
    </row>
    <row r="54" spans="1:6" customFormat="1" x14ac:dyDescent="0.2">
      <c r="A54" s="1486"/>
      <c r="B54" s="641" t="s">
        <v>50</v>
      </c>
      <c r="C54" s="642"/>
      <c r="D54" s="643"/>
      <c r="E54" s="644"/>
      <c r="F54" s="645"/>
    </row>
    <row r="55" spans="1:6" customFormat="1" x14ac:dyDescent="0.2">
      <c r="A55" s="1486"/>
      <c r="B55" s="641" t="s">
        <v>71</v>
      </c>
      <c r="C55" s="642"/>
      <c r="D55" s="643"/>
      <c r="E55" s="644"/>
      <c r="F55" s="645"/>
    </row>
    <row r="56" spans="1:6" customFormat="1" ht="24" x14ac:dyDescent="0.2">
      <c r="A56" s="1486"/>
      <c r="B56" s="641" t="s">
        <v>68</v>
      </c>
      <c r="C56" s="642"/>
      <c r="D56" s="643"/>
      <c r="E56" s="644"/>
      <c r="F56" s="645"/>
    </row>
    <row r="57" spans="1:6" customFormat="1" ht="24" x14ac:dyDescent="0.2">
      <c r="A57" s="1486"/>
      <c r="B57" s="641" t="s">
        <v>59</v>
      </c>
      <c r="C57" s="646"/>
      <c r="D57" s="643"/>
      <c r="E57" s="644"/>
      <c r="F57" s="645"/>
    </row>
    <row r="58" spans="1:6" customFormat="1" x14ac:dyDescent="0.2">
      <c r="A58" s="1486"/>
      <c r="B58" s="641" t="s">
        <v>66</v>
      </c>
      <c r="C58" s="642"/>
      <c r="D58" s="643"/>
      <c r="E58" s="644"/>
      <c r="F58" s="645"/>
    </row>
    <row r="59" spans="1:6" customFormat="1" ht="13.5" thickBot="1" x14ac:dyDescent="0.25">
      <c r="A59" s="1487"/>
      <c r="B59" s="647" t="s">
        <v>11</v>
      </c>
      <c r="C59" s="648">
        <f>SUM(C51:C58)</f>
        <v>0</v>
      </c>
      <c r="D59" s="649">
        <f>SUM(D51:D58)</f>
        <v>27443748</v>
      </c>
      <c r="E59" s="649">
        <f>SUM(E51:E58)</f>
        <v>43572140</v>
      </c>
      <c r="F59" s="650">
        <f>E59/D59*100</f>
        <v>158.7689115932707</v>
      </c>
    </row>
    <row r="60" spans="1:6" customFormat="1" ht="24" x14ac:dyDescent="0.2">
      <c r="A60" s="1489" t="s">
        <v>78</v>
      </c>
      <c r="B60" s="636" t="s">
        <v>52</v>
      </c>
      <c r="C60" s="637">
        <v>2530552</v>
      </c>
      <c r="D60" s="638">
        <v>423315519</v>
      </c>
      <c r="E60" s="639">
        <v>373014541</v>
      </c>
      <c r="F60" s="640">
        <f>E60/D60*100</f>
        <v>88.117379178815312</v>
      </c>
    </row>
    <row r="61" spans="1:6" customFormat="1" ht="36" x14ac:dyDescent="0.2">
      <c r="A61" s="1490"/>
      <c r="B61" s="641" t="s">
        <v>57</v>
      </c>
      <c r="C61" s="642"/>
      <c r="D61" s="643"/>
      <c r="E61" s="644">
        <v>18123389</v>
      </c>
      <c r="F61" s="645"/>
    </row>
    <row r="62" spans="1:6" customFormat="1" x14ac:dyDescent="0.2">
      <c r="A62" s="1490"/>
      <c r="B62" s="641" t="s">
        <v>70</v>
      </c>
      <c r="C62" s="642"/>
      <c r="D62" s="643"/>
      <c r="E62" s="644"/>
      <c r="F62" s="645"/>
    </row>
    <row r="63" spans="1:6" customFormat="1" x14ac:dyDescent="0.2">
      <c r="A63" s="1490"/>
      <c r="B63" s="641" t="s">
        <v>50</v>
      </c>
      <c r="C63" s="642">
        <v>11510000</v>
      </c>
      <c r="D63" s="643">
        <v>16952789</v>
      </c>
      <c r="E63" s="644">
        <v>17967903</v>
      </c>
      <c r="F63" s="645">
        <f>E63/D63*100</f>
        <v>105.98788789266473</v>
      </c>
    </row>
    <row r="64" spans="1:6" customFormat="1" x14ac:dyDescent="0.2">
      <c r="A64" s="1490"/>
      <c r="B64" s="641" t="s">
        <v>71</v>
      </c>
      <c r="C64" s="642"/>
      <c r="D64" s="643"/>
      <c r="E64" s="644"/>
      <c r="F64" s="645"/>
    </row>
    <row r="65" spans="1:6" customFormat="1" ht="24" x14ac:dyDescent="0.2">
      <c r="A65" s="1490"/>
      <c r="B65" s="641" t="s">
        <v>68</v>
      </c>
      <c r="C65" s="642"/>
      <c r="D65" s="643"/>
      <c r="E65" s="644"/>
      <c r="F65" s="645"/>
    </row>
    <row r="66" spans="1:6" customFormat="1" ht="24" x14ac:dyDescent="0.2">
      <c r="A66" s="1490"/>
      <c r="B66" s="641" t="s">
        <v>59</v>
      </c>
      <c r="C66" s="663"/>
      <c r="D66" s="643"/>
      <c r="E66" s="644"/>
      <c r="F66" s="645"/>
    </row>
    <row r="67" spans="1:6" customFormat="1" x14ac:dyDescent="0.2">
      <c r="A67" s="1490"/>
      <c r="B67" s="641" t="s">
        <v>66</v>
      </c>
      <c r="C67" s="642">
        <v>82328640</v>
      </c>
      <c r="D67" s="643">
        <v>82328640</v>
      </c>
      <c r="E67" s="644"/>
      <c r="F67" s="645"/>
    </row>
    <row r="68" spans="1:6" customFormat="1" ht="13.5" thickBot="1" x14ac:dyDescent="0.25">
      <c r="A68" s="1491"/>
      <c r="B68" s="668" t="s">
        <v>11</v>
      </c>
      <c r="C68" s="655">
        <f>SUM(C60:C67)</f>
        <v>96369192</v>
      </c>
      <c r="D68" s="656">
        <f>SUM(D60:D67)</f>
        <v>522596948</v>
      </c>
      <c r="E68" s="656">
        <f>SUM(E60:E67)</f>
        <v>409105833</v>
      </c>
      <c r="F68" s="657">
        <f>E68/D68*100</f>
        <v>78.283241906724641</v>
      </c>
    </row>
    <row r="69" spans="1:6" customFormat="1" ht="24" x14ac:dyDescent="0.2">
      <c r="A69" s="1489" t="s">
        <v>468</v>
      </c>
      <c r="B69" s="1118" t="s">
        <v>52</v>
      </c>
      <c r="C69" s="1119"/>
      <c r="D69" s="991"/>
      <c r="E69" s="991"/>
      <c r="F69" s="659"/>
    </row>
    <row r="70" spans="1:6" customFormat="1" ht="36" x14ac:dyDescent="0.2">
      <c r="A70" s="1490"/>
      <c r="B70" s="1120" t="s">
        <v>57</v>
      </c>
      <c r="C70" s="1117"/>
      <c r="D70" s="992"/>
      <c r="E70" s="992"/>
      <c r="F70" s="660"/>
    </row>
    <row r="71" spans="1:6" customFormat="1" x14ac:dyDescent="0.2">
      <c r="A71" s="1490"/>
      <c r="B71" s="1120" t="s">
        <v>70</v>
      </c>
      <c r="C71" s="1117"/>
      <c r="D71" s="992"/>
      <c r="E71" s="992"/>
      <c r="F71" s="660"/>
    </row>
    <row r="72" spans="1:6" customFormat="1" x14ac:dyDescent="0.2">
      <c r="A72" s="1490"/>
      <c r="B72" s="1120" t="s">
        <v>50</v>
      </c>
      <c r="C72" s="1117">
        <v>3675000</v>
      </c>
      <c r="D72" s="992">
        <v>7225340</v>
      </c>
      <c r="E72" s="992">
        <v>9941382</v>
      </c>
      <c r="F72" s="645">
        <f>E72/D72*100</f>
        <v>137.59050785153363</v>
      </c>
    </row>
    <row r="73" spans="1:6" customFormat="1" x14ac:dyDescent="0.2">
      <c r="A73" s="1490"/>
      <c r="B73" s="1120" t="s">
        <v>71</v>
      </c>
      <c r="C73" s="1117"/>
      <c r="D73" s="992"/>
      <c r="E73" s="992"/>
      <c r="F73" s="660"/>
    </row>
    <row r="74" spans="1:6" customFormat="1" ht="24" x14ac:dyDescent="0.2">
      <c r="A74" s="1490"/>
      <c r="B74" s="1120" t="s">
        <v>68</v>
      </c>
      <c r="C74" s="1117"/>
      <c r="D74" s="992"/>
      <c r="E74" s="992"/>
      <c r="F74" s="660"/>
    </row>
    <row r="75" spans="1:6" customFormat="1" ht="24" x14ac:dyDescent="0.2">
      <c r="A75" s="1490"/>
      <c r="B75" s="1120" t="s">
        <v>59</v>
      </c>
      <c r="C75" s="1117"/>
      <c r="D75" s="992"/>
      <c r="E75" s="992"/>
      <c r="F75" s="660"/>
    </row>
    <row r="76" spans="1:6" customFormat="1" x14ac:dyDescent="0.2">
      <c r="A76" s="1490"/>
      <c r="B76" s="1120" t="s">
        <v>66</v>
      </c>
      <c r="C76" s="1117"/>
      <c r="D76" s="992"/>
      <c r="E76" s="992"/>
      <c r="F76" s="660"/>
    </row>
    <row r="77" spans="1:6" customFormat="1" ht="13.5" thickBot="1" x14ac:dyDescent="0.25">
      <c r="A77" s="1491"/>
      <c r="B77" s="1121" t="s">
        <v>11</v>
      </c>
      <c r="C77" s="1123">
        <f>SUM(C69:C76)</f>
        <v>3675000</v>
      </c>
      <c r="D77" s="1123">
        <f t="shared" ref="D77:E77" si="1">SUM(D69:D76)</f>
        <v>7225340</v>
      </c>
      <c r="E77" s="1123">
        <f t="shared" si="1"/>
        <v>9941382</v>
      </c>
      <c r="F77" s="836">
        <f>E77/D77*100</f>
        <v>137.59050785153363</v>
      </c>
    </row>
    <row r="78" spans="1:6" customFormat="1" ht="24" x14ac:dyDescent="0.2">
      <c r="A78" s="1489" t="s">
        <v>424</v>
      </c>
      <c r="B78" s="671" t="s">
        <v>52</v>
      </c>
      <c r="C78" s="1124"/>
      <c r="D78" s="638"/>
      <c r="E78" s="639"/>
      <c r="F78" s="640"/>
    </row>
    <row r="79" spans="1:6" customFormat="1" ht="36" x14ac:dyDescent="0.2">
      <c r="A79" s="1490"/>
      <c r="B79" s="658" t="s">
        <v>57</v>
      </c>
      <c r="C79" s="1125">
        <v>820378020</v>
      </c>
      <c r="D79" s="643">
        <v>803078021</v>
      </c>
      <c r="E79" s="644">
        <v>942397617</v>
      </c>
      <c r="F79" s="645">
        <f>E79/D79*100</f>
        <v>117.34820183803785</v>
      </c>
    </row>
    <row r="80" spans="1:6" customFormat="1" x14ac:dyDescent="0.2">
      <c r="A80" s="1490"/>
      <c r="B80" s="658" t="s">
        <v>70</v>
      </c>
      <c r="C80" s="1125"/>
      <c r="D80" s="643"/>
      <c r="E80" s="644"/>
      <c r="F80" s="645"/>
    </row>
    <row r="81" spans="1:6" customFormat="1" x14ac:dyDescent="0.2">
      <c r="A81" s="1490"/>
      <c r="B81" s="658" t="s">
        <v>50</v>
      </c>
      <c r="C81" s="1125"/>
      <c r="D81" s="643"/>
      <c r="E81" s="644"/>
      <c r="F81" s="645"/>
    </row>
    <row r="82" spans="1:6" customFormat="1" x14ac:dyDescent="0.2">
      <c r="A82" s="1490"/>
      <c r="B82" s="658" t="s">
        <v>71</v>
      </c>
      <c r="C82" s="1125"/>
      <c r="D82" s="643"/>
      <c r="E82" s="644"/>
      <c r="F82" s="645"/>
    </row>
    <row r="83" spans="1:6" customFormat="1" ht="24" x14ac:dyDescent="0.2">
      <c r="A83" s="1490"/>
      <c r="B83" s="658" t="s">
        <v>68</v>
      </c>
      <c r="C83" s="1125"/>
      <c r="D83" s="643"/>
      <c r="E83" s="644"/>
      <c r="F83" s="645"/>
    </row>
    <row r="84" spans="1:6" customFormat="1" ht="24" x14ac:dyDescent="0.2">
      <c r="A84" s="1490"/>
      <c r="B84" s="658" t="s">
        <v>59</v>
      </c>
      <c r="C84" s="1126"/>
      <c r="D84" s="643"/>
      <c r="E84" s="644"/>
      <c r="F84" s="645"/>
    </row>
    <row r="85" spans="1:6" customFormat="1" x14ac:dyDescent="0.2">
      <c r="A85" s="1490"/>
      <c r="B85" s="658" t="s">
        <v>66</v>
      </c>
      <c r="C85" s="1125">
        <v>8332340</v>
      </c>
      <c r="D85" s="643">
        <v>8332340</v>
      </c>
      <c r="E85" s="644"/>
      <c r="F85" s="645"/>
    </row>
    <row r="86" spans="1:6" customFormat="1" ht="13.5" thickBot="1" x14ac:dyDescent="0.25">
      <c r="A86" s="1491"/>
      <c r="B86" s="661" t="s">
        <v>11</v>
      </c>
      <c r="C86" s="662">
        <f>SUM(C78:C85)</f>
        <v>828710360</v>
      </c>
      <c r="D86" s="1123">
        <f>SUM(D78:D85)</f>
        <v>811410361</v>
      </c>
      <c r="E86" s="1123">
        <f>SUM(E78:E85)</f>
        <v>942397617</v>
      </c>
      <c r="F86" s="657">
        <f>E86/D86%</f>
        <v>116.14315792548771</v>
      </c>
    </row>
    <row r="87" spans="1:6" customFormat="1" ht="24" x14ac:dyDescent="0.2">
      <c r="A87" s="1485" t="s">
        <v>425</v>
      </c>
      <c r="B87" s="669" t="s">
        <v>52</v>
      </c>
      <c r="C87" s="1124"/>
      <c r="D87" s="638"/>
      <c r="E87" s="639"/>
      <c r="F87" s="993"/>
    </row>
    <row r="88" spans="1:6" customFormat="1" ht="36" x14ac:dyDescent="0.2">
      <c r="A88" s="1486"/>
      <c r="B88" s="658" t="s">
        <v>57</v>
      </c>
      <c r="C88" s="1125"/>
      <c r="D88" s="643"/>
      <c r="E88" s="644"/>
      <c r="F88" s="994"/>
    </row>
    <row r="89" spans="1:6" customFormat="1" x14ac:dyDescent="0.2">
      <c r="A89" s="1486"/>
      <c r="B89" s="658" t="s">
        <v>70</v>
      </c>
      <c r="C89" s="1125"/>
      <c r="D89" s="644"/>
      <c r="E89" s="644"/>
      <c r="F89" s="994"/>
    </row>
    <row r="90" spans="1:6" customFormat="1" x14ac:dyDescent="0.2">
      <c r="A90" s="1486"/>
      <c r="B90" s="658" t="s">
        <v>50</v>
      </c>
      <c r="C90" s="1125"/>
      <c r="D90" s="643"/>
      <c r="E90" s="644"/>
      <c r="F90" s="994"/>
    </row>
    <row r="91" spans="1:6" customFormat="1" x14ac:dyDescent="0.2">
      <c r="A91" s="1486"/>
      <c r="B91" s="658" t="s">
        <v>71</v>
      </c>
      <c r="C91" s="1125"/>
      <c r="D91" s="643"/>
      <c r="E91" s="644"/>
      <c r="F91" s="994"/>
    </row>
    <row r="92" spans="1:6" customFormat="1" ht="24" x14ac:dyDescent="0.2">
      <c r="A92" s="1486"/>
      <c r="B92" s="658" t="s">
        <v>68</v>
      </c>
      <c r="C92" s="1125"/>
      <c r="D92" s="643"/>
      <c r="E92" s="644">
        <v>200000</v>
      </c>
      <c r="F92" s="994"/>
    </row>
    <row r="93" spans="1:6" customFormat="1" ht="24" x14ac:dyDescent="0.2">
      <c r="A93" s="1486"/>
      <c r="B93" s="658" t="s">
        <v>59</v>
      </c>
      <c r="C93" s="1127"/>
      <c r="D93" s="643"/>
      <c r="E93" s="644"/>
      <c r="F93" s="994"/>
    </row>
    <row r="94" spans="1:6" customFormat="1" ht="13.5" thickBot="1" x14ac:dyDescent="0.25">
      <c r="A94" s="1486"/>
      <c r="B94" s="658" t="s">
        <v>66</v>
      </c>
      <c r="C94" s="1322"/>
      <c r="D94" s="1323"/>
      <c r="E94" s="1324"/>
      <c r="F94" s="997"/>
    </row>
    <row r="95" spans="1:6" customFormat="1" ht="13.5" thickBot="1" x14ac:dyDescent="0.25">
      <c r="A95" s="1487"/>
      <c r="B95" s="647" t="s">
        <v>11</v>
      </c>
      <c r="C95" s="1320">
        <f>SUM(C87:C94)</f>
        <v>0</v>
      </c>
      <c r="D95" s="1321">
        <f>SUM(D87:D94)</f>
        <v>0</v>
      </c>
      <c r="E95" s="1321">
        <f>SUM(E87:E94)</f>
        <v>200000</v>
      </c>
      <c r="F95" s="1310"/>
    </row>
    <row r="96" spans="1:6" customFormat="1" ht="24" x14ac:dyDescent="0.2">
      <c r="A96" s="1485" t="s">
        <v>496</v>
      </c>
      <c r="B96" s="669" t="s">
        <v>52</v>
      </c>
      <c r="C96" s="676"/>
      <c r="D96" s="991"/>
      <c r="E96" s="991"/>
      <c r="F96" s="993"/>
    </row>
    <row r="97" spans="1:6" customFormat="1" ht="36" x14ac:dyDescent="0.2">
      <c r="A97" s="1486"/>
      <c r="B97" s="658" t="s">
        <v>57</v>
      </c>
      <c r="C97" s="678"/>
      <c r="D97" s="992"/>
      <c r="E97" s="992"/>
      <c r="F97" s="994"/>
    </row>
    <row r="98" spans="1:6" customFormat="1" x14ac:dyDescent="0.2">
      <c r="A98" s="1486"/>
      <c r="B98" s="658" t="s">
        <v>70</v>
      </c>
      <c r="C98" s="678"/>
      <c r="D98" s="992"/>
      <c r="E98" s="992"/>
      <c r="F98" s="994"/>
    </row>
    <row r="99" spans="1:6" customFormat="1" x14ac:dyDescent="0.2">
      <c r="A99" s="1486"/>
      <c r="B99" s="658" t="s">
        <v>50</v>
      </c>
      <c r="C99" s="678"/>
      <c r="D99" s="992"/>
      <c r="E99" s="992"/>
      <c r="F99" s="994"/>
    </row>
    <row r="100" spans="1:6" customFormat="1" x14ac:dyDescent="0.2">
      <c r="A100" s="1486"/>
      <c r="B100" s="658" t="s">
        <v>71</v>
      </c>
      <c r="C100" s="678"/>
      <c r="D100" s="992"/>
      <c r="E100" s="992"/>
      <c r="F100" s="994"/>
    </row>
    <row r="101" spans="1:6" customFormat="1" ht="24" x14ac:dyDescent="0.2">
      <c r="A101" s="1486"/>
      <c r="B101" s="658" t="s">
        <v>68</v>
      </c>
      <c r="C101" s="678"/>
      <c r="D101" s="992"/>
      <c r="E101" s="992"/>
      <c r="F101" s="994"/>
    </row>
    <row r="102" spans="1:6" customFormat="1" ht="24" x14ac:dyDescent="0.2">
      <c r="A102" s="1486"/>
      <c r="B102" s="658" t="s">
        <v>59</v>
      </c>
      <c r="C102" s="678"/>
      <c r="D102" s="992"/>
      <c r="E102" s="992"/>
      <c r="F102" s="994"/>
    </row>
    <row r="103" spans="1:6" customFormat="1" ht="13.5" thickBot="1" x14ac:dyDescent="0.25">
      <c r="A103" s="1486"/>
      <c r="B103" s="658" t="s">
        <v>66</v>
      </c>
      <c r="C103" s="1326">
        <v>60000</v>
      </c>
      <c r="D103" s="1327">
        <v>60000</v>
      </c>
      <c r="E103" s="1327"/>
      <c r="F103" s="1328"/>
    </row>
    <row r="104" spans="1:6" customFormat="1" ht="13.5" thickBot="1" x14ac:dyDescent="0.25">
      <c r="A104" s="1487"/>
      <c r="B104" s="661" t="s">
        <v>11</v>
      </c>
      <c r="C104" s="1329">
        <f>SUM(C96:C103)</f>
        <v>60000</v>
      </c>
      <c r="D104" s="1330">
        <f t="shared" ref="D104:E104" si="2">SUM(D96:D103)</f>
        <v>60000</v>
      </c>
      <c r="E104" s="1330">
        <f t="shared" si="2"/>
        <v>0</v>
      </c>
      <c r="F104" s="1331">
        <f t="shared" ref="F104" si="3">E104/D104%</f>
        <v>0</v>
      </c>
    </row>
    <row r="105" spans="1:6" customFormat="1" ht="24" x14ac:dyDescent="0.2">
      <c r="A105" s="1485" t="s">
        <v>469</v>
      </c>
      <c r="B105" s="669" t="s">
        <v>52</v>
      </c>
      <c r="C105" s="1129"/>
      <c r="D105" s="1333"/>
      <c r="E105" s="1333"/>
      <c r="F105" s="993"/>
    </row>
    <row r="106" spans="1:6" customFormat="1" ht="36" x14ac:dyDescent="0.2">
      <c r="A106" s="1486"/>
      <c r="B106" s="658" t="s">
        <v>57</v>
      </c>
      <c r="C106" s="678">
        <v>1390854858</v>
      </c>
      <c r="D106" s="992">
        <v>1390854858</v>
      </c>
      <c r="E106" s="992"/>
      <c r="F106" s="994"/>
    </row>
    <row r="107" spans="1:6" customFormat="1" x14ac:dyDescent="0.2">
      <c r="A107" s="1486"/>
      <c r="B107" s="658" t="s">
        <v>70</v>
      </c>
      <c r="C107" s="678"/>
      <c r="D107" s="992"/>
      <c r="E107" s="992"/>
      <c r="F107" s="994"/>
    </row>
    <row r="108" spans="1:6" customFormat="1" x14ac:dyDescent="0.2">
      <c r="A108" s="1486"/>
      <c r="B108" s="658" t="s">
        <v>50</v>
      </c>
      <c r="C108" s="678"/>
      <c r="D108" s="992"/>
      <c r="E108" s="992"/>
      <c r="F108" s="994"/>
    </row>
    <row r="109" spans="1:6" customFormat="1" x14ac:dyDescent="0.2">
      <c r="A109" s="1486"/>
      <c r="B109" s="658" t="s">
        <v>71</v>
      </c>
      <c r="C109" s="678"/>
      <c r="D109" s="992"/>
      <c r="E109" s="992"/>
      <c r="F109" s="994"/>
    </row>
    <row r="110" spans="1:6" customFormat="1" ht="24" x14ac:dyDescent="0.2">
      <c r="A110" s="1486"/>
      <c r="B110" s="658" t="s">
        <v>68</v>
      </c>
      <c r="C110" s="678"/>
      <c r="D110" s="992"/>
      <c r="E110" s="992"/>
      <c r="F110" s="994"/>
    </row>
    <row r="111" spans="1:6" customFormat="1" ht="24" x14ac:dyDescent="0.2">
      <c r="A111" s="1486"/>
      <c r="B111" s="658" t="s">
        <v>59</v>
      </c>
      <c r="C111" s="678"/>
      <c r="D111" s="992"/>
      <c r="E111" s="992"/>
      <c r="F111" s="994"/>
    </row>
    <row r="112" spans="1:6" customFormat="1" ht="13.5" thickBot="1" x14ac:dyDescent="0.25">
      <c r="A112" s="1486"/>
      <c r="B112" s="658" t="s">
        <v>66</v>
      </c>
      <c r="C112" s="1325"/>
      <c r="D112" s="996"/>
      <c r="E112" s="996"/>
      <c r="F112" s="997"/>
    </row>
    <row r="113" spans="1:6" customFormat="1" ht="13.5" thickBot="1" x14ac:dyDescent="0.25">
      <c r="A113" s="1487"/>
      <c r="B113" s="647" t="s">
        <v>11</v>
      </c>
      <c r="C113" s="844">
        <f>SUM(C105:C112)</f>
        <v>1390854858</v>
      </c>
      <c r="D113" s="844">
        <f t="shared" ref="D113:E113" si="4">SUM(D105:D112)</f>
        <v>1390854858</v>
      </c>
      <c r="E113" s="995">
        <f t="shared" si="4"/>
        <v>0</v>
      </c>
      <c r="F113" s="1332">
        <f>E113/D113%</f>
        <v>0</v>
      </c>
    </row>
    <row r="114" spans="1:6" customFormat="1" ht="16.5" thickBot="1" x14ac:dyDescent="0.3">
      <c r="A114" s="1341" t="s">
        <v>72</v>
      </c>
      <c r="B114" s="632" t="s">
        <v>151</v>
      </c>
      <c r="C114" s="633" t="s">
        <v>147</v>
      </c>
      <c r="D114" s="634" t="s">
        <v>152</v>
      </c>
      <c r="E114" s="634" t="s">
        <v>149</v>
      </c>
      <c r="F114" s="635" t="s">
        <v>150</v>
      </c>
    </row>
    <row r="115" spans="1:6" customFormat="1" ht="24" x14ac:dyDescent="0.2">
      <c r="A115" s="1485" t="s">
        <v>578</v>
      </c>
      <c r="B115" s="669" t="s">
        <v>52</v>
      </c>
      <c r="C115" s="1129"/>
      <c r="D115" s="991">
        <v>183600</v>
      </c>
      <c r="E115" s="1333"/>
      <c r="F115" s="993"/>
    </row>
    <row r="116" spans="1:6" customFormat="1" ht="36" x14ac:dyDescent="0.2">
      <c r="A116" s="1486"/>
      <c r="B116" s="658" t="s">
        <v>57</v>
      </c>
      <c r="C116" s="678"/>
      <c r="D116" s="992"/>
      <c r="E116" s="992"/>
      <c r="F116" s="994"/>
    </row>
    <row r="117" spans="1:6" customFormat="1" x14ac:dyDescent="0.2">
      <c r="A117" s="1486"/>
      <c r="B117" s="658" t="s">
        <v>70</v>
      </c>
      <c r="C117" s="678"/>
      <c r="D117" s="992"/>
      <c r="E117" s="992"/>
      <c r="F117" s="994"/>
    </row>
    <row r="118" spans="1:6" customFormat="1" x14ac:dyDescent="0.2">
      <c r="A118" s="1486"/>
      <c r="B118" s="658" t="s">
        <v>50</v>
      </c>
      <c r="C118" s="678"/>
      <c r="D118" s="992"/>
      <c r="E118" s="992"/>
      <c r="F118" s="994"/>
    </row>
    <row r="119" spans="1:6" customFormat="1" x14ac:dyDescent="0.2">
      <c r="A119" s="1486"/>
      <c r="B119" s="658" t="s">
        <v>71</v>
      </c>
      <c r="C119" s="678"/>
      <c r="D119" s="992"/>
      <c r="E119" s="992"/>
      <c r="F119" s="994"/>
    </row>
    <row r="120" spans="1:6" customFormat="1" ht="24" x14ac:dyDescent="0.2">
      <c r="A120" s="1486"/>
      <c r="B120" s="658" t="s">
        <v>68</v>
      </c>
      <c r="C120" s="678"/>
      <c r="D120" s="992"/>
      <c r="E120" s="992"/>
      <c r="F120" s="994"/>
    </row>
    <row r="121" spans="1:6" customFormat="1" ht="24" x14ac:dyDescent="0.2">
      <c r="A121" s="1486"/>
      <c r="B121" s="658" t="s">
        <v>59</v>
      </c>
      <c r="C121" s="678"/>
      <c r="D121" s="992"/>
      <c r="E121" s="992"/>
      <c r="F121" s="994"/>
    </row>
    <row r="122" spans="1:6" customFormat="1" ht="13.5" thickBot="1" x14ac:dyDescent="0.25">
      <c r="A122" s="1486"/>
      <c r="B122" s="658" t="s">
        <v>66</v>
      </c>
      <c r="C122" s="1325"/>
      <c r="D122" s="996"/>
      <c r="E122" s="996"/>
      <c r="F122" s="997"/>
    </row>
    <row r="123" spans="1:6" customFormat="1" ht="13.5" thickBot="1" x14ac:dyDescent="0.25">
      <c r="A123" s="1487"/>
      <c r="B123" s="647" t="s">
        <v>11</v>
      </c>
      <c r="C123" s="844">
        <f>SUM(C115:C122)</f>
        <v>0</v>
      </c>
      <c r="D123" s="844">
        <f t="shared" ref="D123:E123" si="5">SUM(D115:D122)</f>
        <v>183600</v>
      </c>
      <c r="E123" s="995">
        <f t="shared" si="5"/>
        <v>0</v>
      </c>
      <c r="F123" s="1332">
        <f>E123/D123%</f>
        <v>0</v>
      </c>
    </row>
    <row r="124" spans="1:6" customFormat="1" ht="24" x14ac:dyDescent="0.2">
      <c r="A124" s="1485" t="s">
        <v>426</v>
      </c>
      <c r="B124" s="669" t="s">
        <v>52</v>
      </c>
      <c r="C124" s="676">
        <v>1178000</v>
      </c>
      <c r="D124" s="639">
        <v>1178000</v>
      </c>
      <c r="E124" s="639">
        <v>3739980</v>
      </c>
      <c r="F124" s="677">
        <f>SUM(E124/D124*100)</f>
        <v>317.48556876061122</v>
      </c>
    </row>
    <row r="125" spans="1:6" customFormat="1" ht="36" x14ac:dyDescent="0.2">
      <c r="A125" s="1486"/>
      <c r="B125" s="658" t="s">
        <v>57</v>
      </c>
      <c r="C125" s="678"/>
      <c r="D125" s="644"/>
      <c r="E125" s="644"/>
      <c r="F125" s="679"/>
    </row>
    <row r="126" spans="1:6" customFormat="1" x14ac:dyDescent="0.2">
      <c r="A126" s="1486"/>
      <c r="B126" s="658" t="s">
        <v>70</v>
      </c>
      <c r="C126" s="678"/>
      <c r="D126" s="644"/>
      <c r="E126" s="644"/>
      <c r="F126" s="679"/>
    </row>
    <row r="127" spans="1:6" customFormat="1" x14ac:dyDescent="0.2">
      <c r="A127" s="1486"/>
      <c r="B127" s="658" t="s">
        <v>50</v>
      </c>
      <c r="C127" s="678"/>
      <c r="D127" s="644">
        <v>121000</v>
      </c>
      <c r="E127" s="644">
        <v>201400</v>
      </c>
      <c r="F127" s="679">
        <f t="shared" ref="F127" si="6">SUM(E127/D127*100)</f>
        <v>166.44628099173553</v>
      </c>
    </row>
    <row r="128" spans="1:6" customFormat="1" x14ac:dyDescent="0.2">
      <c r="A128" s="1486"/>
      <c r="B128" s="658" t="s">
        <v>71</v>
      </c>
      <c r="C128" s="678"/>
      <c r="D128" s="644"/>
      <c r="E128" s="644"/>
      <c r="F128" s="679"/>
    </row>
    <row r="129" spans="1:6" customFormat="1" ht="24" x14ac:dyDescent="0.2">
      <c r="A129" s="1486"/>
      <c r="B129" s="658" t="s">
        <v>68</v>
      </c>
      <c r="C129" s="678"/>
      <c r="D129" s="644"/>
      <c r="E129" s="644"/>
      <c r="F129" s="679"/>
    </row>
    <row r="130" spans="1:6" customFormat="1" ht="24" x14ac:dyDescent="0.2">
      <c r="A130" s="1486"/>
      <c r="B130" s="658" t="s">
        <v>59</v>
      </c>
      <c r="C130" s="678"/>
      <c r="D130" s="644"/>
      <c r="E130" s="644"/>
      <c r="F130" s="679"/>
    </row>
    <row r="131" spans="1:6" customFormat="1" ht="13.5" thickBot="1" x14ac:dyDescent="0.25">
      <c r="A131" s="1486"/>
      <c r="B131" s="658" t="s">
        <v>66</v>
      </c>
      <c r="C131" s="1325">
        <v>920000</v>
      </c>
      <c r="D131" s="1324">
        <v>920000</v>
      </c>
      <c r="E131" s="1324"/>
      <c r="F131" s="834"/>
    </row>
    <row r="132" spans="1:6" customFormat="1" ht="13.5" thickBot="1" x14ac:dyDescent="0.25">
      <c r="A132" s="1487"/>
      <c r="B132" s="670" t="s">
        <v>11</v>
      </c>
      <c r="C132" s="1320">
        <f>SUM(C124:C131)</f>
        <v>2098000</v>
      </c>
      <c r="D132" s="1334">
        <f>SUM(D124:D131)</f>
        <v>2219000</v>
      </c>
      <c r="E132" s="1334">
        <f>SUM(E124:E131)</f>
        <v>3941380</v>
      </c>
      <c r="F132" s="1310">
        <f>SUM(E132/D132*100)</f>
        <v>177.61964849031096</v>
      </c>
    </row>
    <row r="133" spans="1:6" customFormat="1" ht="24" x14ac:dyDescent="0.2">
      <c r="A133" s="1485" t="s">
        <v>107</v>
      </c>
      <c r="B133" s="671" t="s">
        <v>52</v>
      </c>
      <c r="C133" s="1124"/>
      <c r="D133" s="638"/>
      <c r="E133" s="639"/>
      <c r="F133" s="677"/>
    </row>
    <row r="134" spans="1:6" customFormat="1" ht="36" x14ac:dyDescent="0.2">
      <c r="A134" s="1486"/>
      <c r="B134" s="658" t="s">
        <v>57</v>
      </c>
      <c r="C134" s="1125"/>
      <c r="D134" s="643"/>
      <c r="E134" s="644"/>
      <c r="F134" s="679"/>
    </row>
    <row r="135" spans="1:6" customFormat="1" x14ac:dyDescent="0.2">
      <c r="A135" s="1486"/>
      <c r="B135" s="658" t="s">
        <v>70</v>
      </c>
      <c r="C135" s="1125"/>
      <c r="D135" s="643"/>
      <c r="E135" s="644"/>
      <c r="F135" s="679"/>
    </row>
    <row r="136" spans="1:6" customFormat="1" x14ac:dyDescent="0.2">
      <c r="A136" s="1486"/>
      <c r="B136" s="658" t="s">
        <v>50</v>
      </c>
      <c r="C136" s="1125"/>
      <c r="D136" s="643">
        <v>360018</v>
      </c>
      <c r="E136" s="644">
        <v>955816</v>
      </c>
      <c r="F136" s="679">
        <f>SUM(E136/D136*100)</f>
        <v>265.49116988595017</v>
      </c>
    </row>
    <row r="137" spans="1:6" customFormat="1" x14ac:dyDescent="0.2">
      <c r="A137" s="1486"/>
      <c r="B137" s="658" t="s">
        <v>71</v>
      </c>
      <c r="C137" s="1125"/>
      <c r="D137" s="643"/>
      <c r="E137" s="644"/>
      <c r="F137" s="679"/>
    </row>
    <row r="138" spans="1:6" customFormat="1" ht="24" x14ac:dyDescent="0.2">
      <c r="A138" s="1486"/>
      <c r="B138" s="658" t="s">
        <v>68</v>
      </c>
      <c r="C138" s="1125"/>
      <c r="D138" s="643"/>
      <c r="E138" s="644"/>
      <c r="F138" s="679"/>
    </row>
    <row r="139" spans="1:6" customFormat="1" ht="24" x14ac:dyDescent="0.2">
      <c r="A139" s="1486"/>
      <c r="B139" s="658" t="s">
        <v>59</v>
      </c>
      <c r="C139" s="1127"/>
      <c r="D139" s="643"/>
      <c r="E139" s="644"/>
      <c r="F139" s="679"/>
    </row>
    <row r="140" spans="1:6" customFormat="1" ht="13.5" thickBot="1" x14ac:dyDescent="0.25">
      <c r="A140" s="1486"/>
      <c r="B140" s="658" t="s">
        <v>66</v>
      </c>
      <c r="C140" s="1335"/>
      <c r="D140" s="843"/>
      <c r="E140" s="842"/>
      <c r="F140" s="1336"/>
    </row>
    <row r="141" spans="1:6" customFormat="1" ht="13.5" thickBot="1" x14ac:dyDescent="0.25">
      <c r="A141" s="1487"/>
      <c r="B141" s="1128" t="s">
        <v>11</v>
      </c>
      <c r="C141" s="1329">
        <f>SUM(C133:C140)</f>
        <v>0</v>
      </c>
      <c r="D141" s="1337">
        <f>SUM(D133:D140)</f>
        <v>360018</v>
      </c>
      <c r="E141" s="1337">
        <f>SUM(E133:E140)</f>
        <v>955816</v>
      </c>
      <c r="F141" s="1331">
        <f>SUM(E141/D141*100)</f>
        <v>265.49116988595017</v>
      </c>
    </row>
    <row r="142" spans="1:6" customFormat="1" ht="24" x14ac:dyDescent="0.2">
      <c r="A142" s="1485" t="s">
        <v>166</v>
      </c>
      <c r="B142" s="669" t="s">
        <v>52</v>
      </c>
      <c r="C142" s="1124"/>
      <c r="D142" s="638">
        <v>13421200</v>
      </c>
      <c r="E142" s="639">
        <v>13421200</v>
      </c>
      <c r="F142" s="677">
        <f>SUM(E142/D142*100)</f>
        <v>100</v>
      </c>
    </row>
    <row r="143" spans="1:6" customFormat="1" ht="36" x14ac:dyDescent="0.2">
      <c r="A143" s="1486"/>
      <c r="B143" s="658" t="s">
        <v>57</v>
      </c>
      <c r="C143" s="1125"/>
      <c r="D143" s="643"/>
      <c r="E143" s="644"/>
      <c r="F143" s="679"/>
    </row>
    <row r="144" spans="1:6" customFormat="1" x14ac:dyDescent="0.2">
      <c r="A144" s="1486"/>
      <c r="B144" s="658" t="s">
        <v>70</v>
      </c>
      <c r="C144" s="1125"/>
      <c r="D144" s="643"/>
      <c r="E144" s="644"/>
      <c r="F144" s="679"/>
    </row>
    <row r="145" spans="1:6" customFormat="1" x14ac:dyDescent="0.2">
      <c r="A145" s="1486"/>
      <c r="B145" s="658" t="s">
        <v>50</v>
      </c>
      <c r="C145" s="1125"/>
      <c r="D145" s="643">
        <v>203626</v>
      </c>
      <c r="E145" s="644">
        <v>218262</v>
      </c>
      <c r="F145" s="679">
        <f>SUM(E145/D145*100)</f>
        <v>107.18768723051085</v>
      </c>
    </row>
    <row r="146" spans="1:6" customFormat="1" x14ac:dyDescent="0.2">
      <c r="A146" s="1486"/>
      <c r="B146" s="658" t="s">
        <v>71</v>
      </c>
      <c r="C146" s="1125"/>
      <c r="D146" s="643"/>
      <c r="E146" s="644"/>
      <c r="F146" s="679"/>
    </row>
    <row r="147" spans="1:6" customFormat="1" ht="24" x14ac:dyDescent="0.2">
      <c r="A147" s="1486"/>
      <c r="B147" s="658" t="s">
        <v>68</v>
      </c>
      <c r="C147" s="1125"/>
      <c r="D147" s="643"/>
      <c r="E147" s="644"/>
      <c r="F147" s="679"/>
    </row>
    <row r="148" spans="1:6" customFormat="1" ht="24" x14ac:dyDescent="0.2">
      <c r="A148" s="1486"/>
      <c r="B148" s="658" t="s">
        <v>59</v>
      </c>
      <c r="C148" s="1127"/>
      <c r="D148" s="643"/>
      <c r="E148" s="644"/>
      <c r="F148" s="679"/>
    </row>
    <row r="149" spans="1:6" customFormat="1" ht="13.5" thickBot="1" x14ac:dyDescent="0.25">
      <c r="A149" s="1486"/>
      <c r="B149" s="658" t="s">
        <v>66</v>
      </c>
      <c r="C149" s="1322"/>
      <c r="D149" s="1323"/>
      <c r="E149" s="1324"/>
      <c r="F149" s="834"/>
    </row>
    <row r="150" spans="1:6" customFormat="1" ht="13.5" thickBot="1" x14ac:dyDescent="0.25">
      <c r="A150" s="1487"/>
      <c r="B150" s="647" t="s">
        <v>11</v>
      </c>
      <c r="C150" s="1309">
        <f>SUM(C142:C149)</f>
        <v>0</v>
      </c>
      <c r="D150" s="1321">
        <f>SUM(D142:D149)</f>
        <v>13624826</v>
      </c>
      <c r="E150" s="1321">
        <f>SUM(E142:E149)</f>
        <v>13639462</v>
      </c>
      <c r="F150" s="1310">
        <f>E150/D150*100</f>
        <v>100.10742155532849</v>
      </c>
    </row>
    <row r="151" spans="1:6" customFormat="1" ht="24" x14ac:dyDescent="0.2">
      <c r="A151" s="1485" t="s">
        <v>575</v>
      </c>
      <c r="B151" s="669" t="s">
        <v>52</v>
      </c>
      <c r="C151" s="1124"/>
      <c r="D151" s="638"/>
      <c r="E151" s="639">
        <v>53040</v>
      </c>
      <c r="F151" s="677"/>
    </row>
    <row r="152" spans="1:6" customFormat="1" ht="36" x14ac:dyDescent="0.2">
      <c r="A152" s="1486"/>
      <c r="B152" s="658" t="s">
        <v>57</v>
      </c>
      <c r="C152" s="1125"/>
      <c r="D152" s="643"/>
      <c r="E152" s="644"/>
      <c r="F152" s="679"/>
    </row>
    <row r="153" spans="1:6" customFormat="1" x14ac:dyDescent="0.2">
      <c r="A153" s="1486"/>
      <c r="B153" s="658" t="s">
        <v>70</v>
      </c>
      <c r="C153" s="1125"/>
      <c r="D153" s="643"/>
      <c r="E153" s="644"/>
      <c r="F153" s="679"/>
    </row>
    <row r="154" spans="1:6" customFormat="1" x14ac:dyDescent="0.2">
      <c r="A154" s="1486"/>
      <c r="B154" s="658" t="s">
        <v>50</v>
      </c>
      <c r="C154" s="1125"/>
      <c r="D154" s="643"/>
      <c r="E154" s="644"/>
      <c r="F154" s="679"/>
    </row>
    <row r="155" spans="1:6" customFormat="1" x14ac:dyDescent="0.2">
      <c r="A155" s="1486"/>
      <c r="B155" s="658" t="s">
        <v>71</v>
      </c>
      <c r="C155" s="1125"/>
      <c r="D155" s="643"/>
      <c r="E155" s="644"/>
      <c r="F155" s="679"/>
    </row>
    <row r="156" spans="1:6" customFormat="1" ht="24" x14ac:dyDescent="0.2">
      <c r="A156" s="1486"/>
      <c r="B156" s="658" t="s">
        <v>68</v>
      </c>
      <c r="C156" s="1125"/>
      <c r="D156" s="643"/>
      <c r="E156" s="644"/>
      <c r="F156" s="679"/>
    </row>
    <row r="157" spans="1:6" customFormat="1" ht="24" x14ac:dyDescent="0.2">
      <c r="A157" s="1486"/>
      <c r="B157" s="658" t="s">
        <v>59</v>
      </c>
      <c r="C157" s="1127"/>
      <c r="D157" s="643"/>
      <c r="E157" s="644"/>
      <c r="F157" s="679"/>
    </row>
    <row r="158" spans="1:6" customFormat="1" ht="13.5" thickBot="1" x14ac:dyDescent="0.25">
      <c r="A158" s="1486"/>
      <c r="B158" s="658" t="s">
        <v>66</v>
      </c>
      <c r="C158" s="1322"/>
      <c r="D158" s="1323"/>
      <c r="E158" s="1324"/>
      <c r="F158" s="834"/>
    </row>
    <row r="159" spans="1:6" customFormat="1" ht="13.5" thickBot="1" x14ac:dyDescent="0.25">
      <c r="A159" s="1487"/>
      <c r="B159" s="647" t="s">
        <v>11</v>
      </c>
      <c r="C159" s="1309">
        <f>SUM(C151:C158)</f>
        <v>0</v>
      </c>
      <c r="D159" s="1321">
        <f>SUM(D151:D158)</f>
        <v>0</v>
      </c>
      <c r="E159" s="1321">
        <f>SUM(E151:E158)</f>
        <v>53040</v>
      </c>
      <c r="F159" s="1310"/>
    </row>
    <row r="160" spans="1:6" customFormat="1" ht="24" x14ac:dyDescent="0.2">
      <c r="A160" s="1485" t="s">
        <v>470</v>
      </c>
      <c r="B160" s="669" t="s">
        <v>52</v>
      </c>
      <c r="C160" s="1124">
        <v>64000</v>
      </c>
      <c r="D160" s="638">
        <v>64000</v>
      </c>
      <c r="E160" s="639">
        <v>62400</v>
      </c>
      <c r="F160" s="677">
        <f>SUM(E160/D160*100)</f>
        <v>97.5</v>
      </c>
    </row>
    <row r="161" spans="1:6" customFormat="1" ht="36" x14ac:dyDescent="0.2">
      <c r="A161" s="1486"/>
      <c r="B161" s="658" t="s">
        <v>57</v>
      </c>
      <c r="C161" s="1125"/>
      <c r="D161" s="643"/>
      <c r="E161" s="644"/>
      <c r="F161" s="679"/>
    </row>
    <row r="162" spans="1:6" customFormat="1" x14ac:dyDescent="0.2">
      <c r="A162" s="1486"/>
      <c r="B162" s="658" t="s">
        <v>70</v>
      </c>
      <c r="C162" s="1125"/>
      <c r="D162" s="643"/>
      <c r="E162" s="644"/>
      <c r="F162" s="679"/>
    </row>
    <row r="163" spans="1:6" customFormat="1" x14ac:dyDescent="0.2">
      <c r="A163" s="1486"/>
      <c r="B163" s="658" t="s">
        <v>50</v>
      </c>
      <c r="C163" s="1125"/>
      <c r="D163" s="643"/>
      <c r="E163" s="644"/>
      <c r="F163" s="679"/>
    </row>
    <row r="164" spans="1:6" customFormat="1" x14ac:dyDescent="0.2">
      <c r="A164" s="1486"/>
      <c r="B164" s="658" t="s">
        <v>71</v>
      </c>
      <c r="C164" s="1125"/>
      <c r="D164" s="643"/>
      <c r="E164" s="644"/>
      <c r="F164" s="679"/>
    </row>
    <row r="165" spans="1:6" customFormat="1" ht="24" x14ac:dyDescent="0.2">
      <c r="A165" s="1486"/>
      <c r="B165" s="658" t="s">
        <v>68</v>
      </c>
      <c r="C165" s="1125"/>
      <c r="D165" s="643"/>
      <c r="E165" s="644"/>
      <c r="F165" s="679"/>
    </row>
    <row r="166" spans="1:6" customFormat="1" ht="24" x14ac:dyDescent="0.2">
      <c r="A166" s="1486"/>
      <c r="B166" s="658" t="s">
        <v>59</v>
      </c>
      <c r="C166" s="1127"/>
      <c r="D166" s="643"/>
      <c r="E166" s="644"/>
      <c r="F166" s="679"/>
    </row>
    <row r="167" spans="1:6" customFormat="1" ht="13.5" thickBot="1" x14ac:dyDescent="0.25">
      <c r="A167" s="1486"/>
      <c r="B167" s="658" t="s">
        <v>66</v>
      </c>
      <c r="C167" s="1322"/>
      <c r="D167" s="1323"/>
      <c r="E167" s="1324"/>
      <c r="F167" s="834"/>
    </row>
    <row r="168" spans="1:6" customFormat="1" ht="13.5" thickBot="1" x14ac:dyDescent="0.25">
      <c r="A168" s="1487"/>
      <c r="B168" s="647" t="s">
        <v>11</v>
      </c>
      <c r="C168" s="1309">
        <f>SUM(C160:C167)</f>
        <v>64000</v>
      </c>
      <c r="D168" s="1321">
        <f>SUM(D160:D167)</f>
        <v>64000</v>
      </c>
      <c r="E168" s="1321">
        <f>SUM(E160:E167)</f>
        <v>62400</v>
      </c>
      <c r="F168" s="1310">
        <f>E168/D168*100</f>
        <v>97.5</v>
      </c>
    </row>
    <row r="169" spans="1:6" customFormat="1" ht="24" x14ac:dyDescent="0.2">
      <c r="A169" s="1485" t="s">
        <v>471</v>
      </c>
      <c r="B169" s="669" t="s">
        <v>52</v>
      </c>
      <c r="C169" s="1124"/>
      <c r="D169" s="638"/>
      <c r="E169" s="639"/>
      <c r="F169" s="677"/>
    </row>
    <row r="170" spans="1:6" customFormat="1" ht="36" x14ac:dyDescent="0.2">
      <c r="A170" s="1486"/>
      <c r="B170" s="658" t="s">
        <v>57</v>
      </c>
      <c r="C170" s="1125"/>
      <c r="D170" s="643"/>
      <c r="E170" s="644"/>
      <c r="F170" s="679"/>
    </row>
    <row r="171" spans="1:6" customFormat="1" x14ac:dyDescent="0.2">
      <c r="A171" s="1486"/>
      <c r="B171" s="658" t="s">
        <v>70</v>
      </c>
      <c r="C171" s="1125"/>
      <c r="D171" s="643"/>
      <c r="E171" s="644"/>
      <c r="F171" s="679"/>
    </row>
    <row r="172" spans="1:6" customFormat="1" x14ac:dyDescent="0.2">
      <c r="A172" s="1486"/>
      <c r="B172" s="658" t="s">
        <v>50</v>
      </c>
      <c r="C172" s="1125"/>
      <c r="D172" s="643"/>
      <c r="E172" s="644"/>
      <c r="F172" s="679"/>
    </row>
    <row r="173" spans="1:6" customFormat="1" x14ac:dyDescent="0.2">
      <c r="A173" s="1486"/>
      <c r="B173" s="658" t="s">
        <v>71</v>
      </c>
      <c r="C173" s="1125"/>
      <c r="D173" s="643"/>
      <c r="E173" s="644"/>
      <c r="F173" s="679"/>
    </row>
    <row r="174" spans="1:6" customFormat="1" ht="24" x14ac:dyDescent="0.2">
      <c r="A174" s="1486"/>
      <c r="B174" s="658" t="s">
        <v>68</v>
      </c>
      <c r="C174" s="1125"/>
      <c r="D174" s="643"/>
      <c r="E174" s="644"/>
      <c r="F174" s="679"/>
    </row>
    <row r="175" spans="1:6" customFormat="1" ht="24" x14ac:dyDescent="0.2">
      <c r="A175" s="1486"/>
      <c r="B175" s="658" t="s">
        <v>59</v>
      </c>
      <c r="C175" s="1127"/>
      <c r="D175" s="643"/>
      <c r="E175" s="644"/>
      <c r="F175" s="679"/>
    </row>
    <row r="176" spans="1:6" customFormat="1" ht="13.5" thickBot="1" x14ac:dyDescent="0.25">
      <c r="A176" s="1486"/>
      <c r="B176" s="658" t="s">
        <v>66</v>
      </c>
      <c r="C176" s="1322">
        <v>20452</v>
      </c>
      <c r="D176" s="1323">
        <v>20452</v>
      </c>
      <c r="E176" s="1324"/>
      <c r="F176" s="834"/>
    </row>
    <row r="177" spans="1:6" customFormat="1" ht="13.5" thickBot="1" x14ac:dyDescent="0.25">
      <c r="A177" s="1487"/>
      <c r="B177" s="661" t="s">
        <v>11</v>
      </c>
      <c r="C177" s="1320">
        <f>SUM(C169:C176)</f>
        <v>20452</v>
      </c>
      <c r="D177" s="1321">
        <f>SUM(D169:D176)</f>
        <v>20452</v>
      </c>
      <c r="E177" s="1321">
        <f>SUM(E169:E176)</f>
        <v>0</v>
      </c>
      <c r="F177" s="1310"/>
    </row>
    <row r="178" spans="1:6" customFormat="1" ht="24" x14ac:dyDescent="0.2">
      <c r="A178" s="1485" t="s">
        <v>497</v>
      </c>
      <c r="B178" s="671" t="s">
        <v>52</v>
      </c>
      <c r="C178" s="1124"/>
      <c r="D178" s="638"/>
      <c r="E178" s="639"/>
      <c r="F178" s="640"/>
    </row>
    <row r="179" spans="1:6" customFormat="1" ht="36" x14ac:dyDescent="0.2">
      <c r="A179" s="1486"/>
      <c r="B179" s="658" t="s">
        <v>57</v>
      </c>
      <c r="C179" s="1125"/>
      <c r="D179" s="643"/>
      <c r="E179" s="644"/>
      <c r="F179" s="645"/>
    </row>
    <row r="180" spans="1:6" customFormat="1" x14ac:dyDescent="0.2">
      <c r="A180" s="1486"/>
      <c r="B180" s="658" t="s">
        <v>70</v>
      </c>
      <c r="C180" s="1125"/>
      <c r="D180" s="643"/>
      <c r="E180" s="644"/>
      <c r="F180" s="645"/>
    </row>
    <row r="181" spans="1:6" customFormat="1" x14ac:dyDescent="0.2">
      <c r="A181" s="1486"/>
      <c r="B181" s="658" t="s">
        <v>50</v>
      </c>
      <c r="C181" s="1125"/>
      <c r="D181" s="643"/>
      <c r="E181" s="644"/>
      <c r="F181" s="645"/>
    </row>
    <row r="182" spans="1:6" customFormat="1" x14ac:dyDescent="0.2">
      <c r="A182" s="1486"/>
      <c r="B182" s="658" t="s">
        <v>71</v>
      </c>
      <c r="C182" s="1125"/>
      <c r="D182" s="643"/>
      <c r="E182" s="644"/>
      <c r="F182" s="645"/>
    </row>
    <row r="183" spans="1:6" customFormat="1" ht="24" x14ac:dyDescent="0.2">
      <c r="A183" s="1486"/>
      <c r="B183" s="658" t="s">
        <v>68</v>
      </c>
      <c r="C183" s="1125"/>
      <c r="D183" s="643"/>
      <c r="E183" s="644"/>
      <c r="F183" s="645"/>
    </row>
    <row r="184" spans="1:6" customFormat="1" ht="24" x14ac:dyDescent="0.2">
      <c r="A184" s="1486"/>
      <c r="B184" s="658" t="s">
        <v>59</v>
      </c>
      <c r="C184" s="1127"/>
      <c r="D184" s="643"/>
      <c r="E184" s="644"/>
      <c r="F184" s="645"/>
    </row>
    <row r="185" spans="1:6" customFormat="1" ht="13.5" thickBot="1" x14ac:dyDescent="0.25">
      <c r="A185" s="1486"/>
      <c r="B185" s="658" t="s">
        <v>66</v>
      </c>
      <c r="C185" s="1322">
        <v>500000</v>
      </c>
      <c r="D185" s="1323">
        <v>500000</v>
      </c>
      <c r="E185" s="1324">
        <v>900000</v>
      </c>
      <c r="F185" s="1338">
        <f>E185/D185*100</f>
        <v>180</v>
      </c>
    </row>
    <row r="186" spans="1:6" customFormat="1" ht="13.5" thickBot="1" x14ac:dyDescent="0.25">
      <c r="A186" s="1487"/>
      <c r="B186" s="647" t="s">
        <v>11</v>
      </c>
      <c r="C186" s="1329">
        <f>SUM(C178:C185)</f>
        <v>500000</v>
      </c>
      <c r="D186" s="1337">
        <f>SUM(D178:D185)</f>
        <v>500000</v>
      </c>
      <c r="E186" s="1337">
        <f>SUM(E178:E185)</f>
        <v>900000</v>
      </c>
      <c r="F186" s="1331">
        <f>E186/D186*100</f>
        <v>180</v>
      </c>
    </row>
    <row r="187" spans="1:6" customFormat="1" ht="24" x14ac:dyDescent="0.2">
      <c r="A187" s="1485" t="s">
        <v>576</v>
      </c>
      <c r="B187" s="671" t="s">
        <v>52</v>
      </c>
      <c r="C187" s="1124"/>
      <c r="D187" s="638">
        <v>450000</v>
      </c>
      <c r="E187" s="639">
        <v>450000</v>
      </c>
      <c r="F187" s="993">
        <f>E187/D187*100</f>
        <v>100</v>
      </c>
    </row>
    <row r="188" spans="1:6" customFormat="1" ht="36" x14ac:dyDescent="0.2">
      <c r="A188" s="1486"/>
      <c r="B188" s="658" t="s">
        <v>57</v>
      </c>
      <c r="C188" s="1125"/>
      <c r="D188" s="643"/>
      <c r="E188" s="644"/>
      <c r="F188" s="645"/>
    </row>
    <row r="189" spans="1:6" customFormat="1" x14ac:dyDescent="0.2">
      <c r="A189" s="1486"/>
      <c r="B189" s="658" t="s">
        <v>70</v>
      </c>
      <c r="C189" s="1125"/>
      <c r="D189" s="643"/>
      <c r="E189" s="644"/>
      <c r="F189" s="645"/>
    </row>
    <row r="190" spans="1:6" customFormat="1" x14ac:dyDescent="0.2">
      <c r="A190" s="1486"/>
      <c r="B190" s="658" t="s">
        <v>50</v>
      </c>
      <c r="C190" s="1125"/>
      <c r="D190" s="643"/>
      <c r="E190" s="644"/>
      <c r="F190" s="645"/>
    </row>
    <row r="191" spans="1:6" customFormat="1" x14ac:dyDescent="0.2">
      <c r="A191" s="1486"/>
      <c r="B191" s="658" t="s">
        <v>71</v>
      </c>
      <c r="C191" s="1125"/>
      <c r="D191" s="643"/>
      <c r="E191" s="644"/>
      <c r="F191" s="645"/>
    </row>
    <row r="192" spans="1:6" customFormat="1" ht="24" x14ac:dyDescent="0.2">
      <c r="A192" s="1486"/>
      <c r="B192" s="658" t="s">
        <v>68</v>
      </c>
      <c r="C192" s="1125"/>
      <c r="D192" s="643"/>
      <c r="E192" s="644"/>
      <c r="F192" s="645"/>
    </row>
    <row r="193" spans="1:6" customFormat="1" ht="24" x14ac:dyDescent="0.2">
      <c r="A193" s="1486"/>
      <c r="B193" s="658" t="s">
        <v>59</v>
      </c>
      <c r="C193" s="1127"/>
      <c r="D193" s="643"/>
      <c r="E193" s="644"/>
      <c r="F193" s="645"/>
    </row>
    <row r="194" spans="1:6" customFormat="1" ht="13.5" thickBot="1" x14ac:dyDescent="0.25">
      <c r="A194" s="1486"/>
      <c r="B194" s="658" t="s">
        <v>66</v>
      </c>
      <c r="C194" s="1322"/>
      <c r="D194" s="1323"/>
      <c r="E194" s="1324"/>
      <c r="F194" s="1338"/>
    </row>
    <row r="195" spans="1:6" customFormat="1" ht="13.5" thickBot="1" x14ac:dyDescent="0.25">
      <c r="A195" s="1487"/>
      <c r="B195" s="647" t="s">
        <v>11</v>
      </c>
      <c r="C195" s="1309">
        <f>SUM(C187:C194)</f>
        <v>0</v>
      </c>
      <c r="D195" s="1321">
        <f>SUM(D187:D194)</f>
        <v>450000</v>
      </c>
      <c r="E195" s="1321">
        <f>SUM(E187:E194)</f>
        <v>450000</v>
      </c>
      <c r="F195" s="835">
        <f>E195/D195*100</f>
        <v>100</v>
      </c>
    </row>
    <row r="196" spans="1:6" customFormat="1" ht="24" x14ac:dyDescent="0.2">
      <c r="A196" s="1485" t="s">
        <v>577</v>
      </c>
      <c r="B196" s="641" t="s">
        <v>52</v>
      </c>
      <c r="C196" s="637"/>
      <c r="D196" s="638"/>
      <c r="E196" s="639"/>
      <c r="F196" s="640"/>
    </row>
    <row r="197" spans="1:6" customFormat="1" ht="36" x14ac:dyDescent="0.2">
      <c r="A197" s="1486"/>
      <c r="B197" s="641" t="s">
        <v>57</v>
      </c>
      <c r="C197" s="642"/>
      <c r="D197" s="643"/>
      <c r="E197" s="644"/>
      <c r="F197" s="645"/>
    </row>
    <row r="198" spans="1:6" customFormat="1" x14ac:dyDescent="0.2">
      <c r="A198" s="1486"/>
      <c r="B198" s="641" t="s">
        <v>70</v>
      </c>
      <c r="C198" s="642"/>
      <c r="D198" s="643"/>
      <c r="E198" s="644"/>
      <c r="F198" s="645"/>
    </row>
    <row r="199" spans="1:6" customFormat="1" x14ac:dyDescent="0.2">
      <c r="A199" s="1486"/>
      <c r="B199" s="641" t="s">
        <v>50</v>
      </c>
      <c r="C199" s="642"/>
      <c r="D199" s="643"/>
      <c r="E199" s="644">
        <v>97900</v>
      </c>
      <c r="F199" s="645"/>
    </row>
    <row r="200" spans="1:6" customFormat="1" x14ac:dyDescent="0.2">
      <c r="A200" s="1486"/>
      <c r="B200" s="641" t="s">
        <v>71</v>
      </c>
      <c r="C200" s="642"/>
      <c r="D200" s="643"/>
      <c r="E200" s="644"/>
      <c r="F200" s="645"/>
    </row>
    <row r="201" spans="1:6" customFormat="1" ht="24" x14ac:dyDescent="0.2">
      <c r="A201" s="1486"/>
      <c r="B201" s="641" t="s">
        <v>68</v>
      </c>
      <c r="C201" s="642"/>
      <c r="D201" s="643"/>
      <c r="E201" s="644">
        <v>50000</v>
      </c>
      <c r="F201" s="645"/>
    </row>
    <row r="202" spans="1:6" customFormat="1" ht="24" x14ac:dyDescent="0.2">
      <c r="A202" s="1486"/>
      <c r="B202" s="641" t="s">
        <v>59</v>
      </c>
      <c r="C202" s="646"/>
      <c r="D202" s="643"/>
      <c r="E202" s="644"/>
      <c r="F202" s="645"/>
    </row>
    <row r="203" spans="1:6" customFormat="1" x14ac:dyDescent="0.2">
      <c r="A203" s="1486"/>
      <c r="B203" s="641" t="s">
        <v>66</v>
      </c>
      <c r="C203" s="642"/>
      <c r="D203" s="643"/>
      <c r="E203" s="644"/>
      <c r="F203" s="645"/>
    </row>
    <row r="204" spans="1:6" customFormat="1" ht="13.5" thickBot="1" x14ac:dyDescent="0.25">
      <c r="A204" s="1487"/>
      <c r="B204" s="647" t="s">
        <v>11</v>
      </c>
      <c r="C204" s="648">
        <f>SUM(C196:C203)</f>
        <v>0</v>
      </c>
      <c r="D204" s="649">
        <f>SUM(D196:D203)</f>
        <v>0</v>
      </c>
      <c r="E204" s="649">
        <f>SUM(E196:E203)</f>
        <v>147900</v>
      </c>
      <c r="F204" s="650"/>
    </row>
    <row r="205" spans="1:6" customFormat="1" ht="16.5" thickBot="1" x14ac:dyDescent="0.3">
      <c r="A205" s="1342" t="s">
        <v>72</v>
      </c>
      <c r="B205" s="672" t="s">
        <v>151</v>
      </c>
      <c r="C205" s="673" t="s">
        <v>147</v>
      </c>
      <c r="D205" s="674" t="s">
        <v>152</v>
      </c>
      <c r="E205" s="674" t="s">
        <v>149</v>
      </c>
      <c r="F205" s="675" t="s">
        <v>150</v>
      </c>
    </row>
    <row r="206" spans="1:6" customFormat="1" ht="24" x14ac:dyDescent="0.2">
      <c r="A206" s="1485" t="s">
        <v>427</v>
      </c>
      <c r="B206" s="636" t="s">
        <v>52</v>
      </c>
      <c r="C206" s="637"/>
      <c r="D206" s="638"/>
      <c r="E206" s="639"/>
      <c r="F206" s="645"/>
    </row>
    <row r="207" spans="1:6" customFormat="1" ht="36" x14ac:dyDescent="0.2">
      <c r="A207" s="1486"/>
      <c r="B207" s="641" t="s">
        <v>57</v>
      </c>
      <c r="C207" s="642"/>
      <c r="D207" s="643"/>
      <c r="E207" s="644"/>
      <c r="F207" s="645"/>
    </row>
    <row r="208" spans="1:6" customFormat="1" x14ac:dyDescent="0.2">
      <c r="A208" s="1486"/>
      <c r="B208" s="641" t="s">
        <v>70</v>
      </c>
      <c r="C208" s="642"/>
      <c r="D208" s="643"/>
      <c r="E208" s="644"/>
      <c r="F208" s="645"/>
    </row>
    <row r="209" spans="1:6" customFormat="1" x14ac:dyDescent="0.2">
      <c r="A209" s="1486"/>
      <c r="B209" s="641" t="s">
        <v>50</v>
      </c>
      <c r="C209" s="642">
        <v>2540</v>
      </c>
      <c r="D209" s="643">
        <v>2540</v>
      </c>
      <c r="E209" s="644">
        <v>1995</v>
      </c>
      <c r="F209" s="645">
        <f>E209/D209*100</f>
        <v>78.543307086614178</v>
      </c>
    </row>
    <row r="210" spans="1:6" customFormat="1" x14ac:dyDescent="0.2">
      <c r="A210" s="1486"/>
      <c r="B210" s="641" t="s">
        <v>71</v>
      </c>
      <c r="C210" s="642"/>
      <c r="D210" s="643"/>
      <c r="E210" s="644"/>
      <c r="F210" s="645"/>
    </row>
    <row r="211" spans="1:6" customFormat="1" ht="24" x14ac:dyDescent="0.2">
      <c r="A211" s="1486"/>
      <c r="B211" s="641" t="s">
        <v>68</v>
      </c>
      <c r="C211" s="642"/>
      <c r="D211" s="643"/>
      <c r="E211" s="644"/>
      <c r="F211" s="645"/>
    </row>
    <row r="212" spans="1:6" customFormat="1" ht="24" x14ac:dyDescent="0.2">
      <c r="A212" s="1486"/>
      <c r="B212" s="641" t="s">
        <v>59</v>
      </c>
      <c r="C212" s="646"/>
      <c r="D212" s="643"/>
      <c r="E212" s="644"/>
      <c r="F212" s="645"/>
    </row>
    <row r="213" spans="1:6" customFormat="1" ht="13.5" thickBot="1" x14ac:dyDescent="0.25">
      <c r="A213" s="1486"/>
      <c r="B213" s="838" t="s">
        <v>66</v>
      </c>
      <c r="C213" s="840"/>
      <c r="D213" s="843"/>
      <c r="E213" s="842"/>
      <c r="F213" s="836"/>
    </row>
    <row r="214" spans="1:6" customFormat="1" ht="13.5" thickBot="1" x14ac:dyDescent="0.25">
      <c r="A214" s="1487"/>
      <c r="B214" s="839" t="s">
        <v>11</v>
      </c>
      <c r="C214" s="841">
        <f>SUM(C206:C213)</f>
        <v>2540</v>
      </c>
      <c r="D214" s="837">
        <f>SUM(D206:D213)</f>
        <v>2540</v>
      </c>
      <c r="E214" s="837">
        <f>SUM(E206:E213)</f>
        <v>1995</v>
      </c>
      <c r="F214" s="837">
        <f>E214/D214*100</f>
        <v>78.543307086614178</v>
      </c>
    </row>
    <row r="215" spans="1:6" customFormat="1" ht="24" x14ac:dyDescent="0.2">
      <c r="A215" s="1485" t="s">
        <v>429</v>
      </c>
      <c r="B215" s="636" t="s">
        <v>52</v>
      </c>
      <c r="C215" s="637"/>
      <c r="D215" s="638"/>
      <c r="E215" s="639"/>
      <c r="F215" s="667"/>
    </row>
    <row r="216" spans="1:6" customFormat="1" ht="36" x14ac:dyDescent="0.2">
      <c r="A216" s="1486"/>
      <c r="B216" s="641" t="s">
        <v>57</v>
      </c>
      <c r="C216" s="642"/>
      <c r="D216" s="643"/>
      <c r="E216" s="644"/>
      <c r="F216" s="645"/>
    </row>
    <row r="217" spans="1:6" customFormat="1" x14ac:dyDescent="0.2">
      <c r="A217" s="1486"/>
      <c r="B217" s="641" t="s">
        <v>70</v>
      </c>
      <c r="C217" s="642"/>
      <c r="D217" s="643"/>
      <c r="E217" s="644"/>
      <c r="F217" s="645"/>
    </row>
    <row r="218" spans="1:6" customFormat="1" x14ac:dyDescent="0.2">
      <c r="A218" s="1486"/>
      <c r="B218" s="641" t="s">
        <v>50</v>
      </c>
      <c r="C218" s="642"/>
      <c r="D218" s="643"/>
      <c r="E218" s="644"/>
      <c r="F218" s="645"/>
    </row>
    <row r="219" spans="1:6" customFormat="1" x14ac:dyDescent="0.2">
      <c r="A219" s="1486"/>
      <c r="B219" s="641" t="s">
        <v>71</v>
      </c>
      <c r="C219" s="642"/>
      <c r="D219" s="643"/>
      <c r="E219" s="644"/>
      <c r="F219" s="645"/>
    </row>
    <row r="220" spans="1:6" customFormat="1" ht="24" x14ac:dyDescent="0.2">
      <c r="A220" s="1486"/>
      <c r="B220" s="641" t="s">
        <v>68</v>
      </c>
      <c r="C220" s="642">
        <v>204000</v>
      </c>
      <c r="D220" s="643">
        <v>5688036</v>
      </c>
      <c r="E220" s="644">
        <v>5048097</v>
      </c>
      <c r="F220" s="645">
        <f>E220/D220*100</f>
        <v>88.749385552412122</v>
      </c>
    </row>
    <row r="221" spans="1:6" customFormat="1" ht="24" x14ac:dyDescent="0.2">
      <c r="A221" s="1486"/>
      <c r="B221" s="641" t="s">
        <v>59</v>
      </c>
      <c r="C221" s="646"/>
      <c r="D221" s="643"/>
      <c r="E221" s="644"/>
      <c r="F221" s="645"/>
    </row>
    <row r="222" spans="1:6" customFormat="1" ht="13.5" thickBot="1" x14ac:dyDescent="0.25">
      <c r="A222" s="1486"/>
      <c r="B222" s="838" t="s">
        <v>66</v>
      </c>
      <c r="C222" s="840"/>
      <c r="D222" s="843"/>
      <c r="E222" s="842"/>
      <c r="F222" s="836"/>
    </row>
    <row r="223" spans="1:6" customFormat="1" ht="13.5" thickBot="1" x14ac:dyDescent="0.25">
      <c r="A223" s="1487"/>
      <c r="B223" s="839" t="s">
        <v>11</v>
      </c>
      <c r="C223" s="841">
        <f>SUM(C215:C222)</f>
        <v>204000</v>
      </c>
      <c r="D223" s="1339">
        <f>SUM(D215:D222)</f>
        <v>5688036</v>
      </c>
      <c r="E223" s="837">
        <f>SUM(E215:E222)</f>
        <v>5048097</v>
      </c>
      <c r="F223" s="837">
        <f>E223/D223*100</f>
        <v>88.749385552412122</v>
      </c>
    </row>
    <row r="224" spans="1:6" customFormat="1" ht="24" x14ac:dyDescent="0.2">
      <c r="A224" s="1485" t="s">
        <v>428</v>
      </c>
      <c r="B224" s="636" t="s">
        <v>52</v>
      </c>
      <c r="C224" s="664"/>
      <c r="D224" s="665"/>
      <c r="E224" s="666"/>
      <c r="F224" s="667"/>
    </row>
    <row r="225" spans="1:6" customFormat="1" ht="36" x14ac:dyDescent="0.2">
      <c r="A225" s="1486"/>
      <c r="B225" s="641" t="s">
        <v>57</v>
      </c>
      <c r="C225" s="642"/>
      <c r="D225" s="643"/>
      <c r="E225" s="644"/>
      <c r="F225" s="667"/>
    </row>
    <row r="226" spans="1:6" customFormat="1" x14ac:dyDescent="0.2">
      <c r="A226" s="1486"/>
      <c r="B226" s="641" t="s">
        <v>70</v>
      </c>
      <c r="C226" s="642">
        <v>82386000</v>
      </c>
      <c r="D226" s="643">
        <v>82386000</v>
      </c>
      <c r="E226" s="644">
        <v>79516774</v>
      </c>
      <c r="F226" s="667">
        <f t="shared" ref="F226" si="7">E226/D226%</f>
        <v>96.51733789721554</v>
      </c>
    </row>
    <row r="227" spans="1:6" customFormat="1" x14ac:dyDescent="0.2">
      <c r="A227" s="1486"/>
      <c r="B227" s="641" t="s">
        <v>50</v>
      </c>
      <c r="C227" s="642"/>
      <c r="D227" s="643"/>
      <c r="E227" s="644">
        <v>13747</v>
      </c>
      <c r="F227" s="645"/>
    </row>
    <row r="228" spans="1:6" customFormat="1" x14ac:dyDescent="0.2">
      <c r="A228" s="1486"/>
      <c r="B228" s="641" t="s">
        <v>71</v>
      </c>
      <c r="C228" s="642"/>
      <c r="D228" s="643"/>
      <c r="E228" s="644"/>
      <c r="F228" s="645"/>
    </row>
    <row r="229" spans="1:6" customFormat="1" ht="24" x14ac:dyDescent="0.2">
      <c r="A229" s="1486"/>
      <c r="B229" s="641" t="s">
        <v>68</v>
      </c>
      <c r="C229" s="642"/>
      <c r="D229" s="643"/>
      <c r="E229" s="644"/>
      <c r="F229" s="645"/>
    </row>
    <row r="230" spans="1:6" customFormat="1" ht="24" x14ac:dyDescent="0.2">
      <c r="A230" s="1486"/>
      <c r="B230" s="641" t="s">
        <v>59</v>
      </c>
      <c r="C230" s="646"/>
      <c r="D230" s="643"/>
      <c r="E230" s="644"/>
      <c r="F230" s="645"/>
    </row>
    <row r="231" spans="1:6" customFormat="1" ht="13.5" thickBot="1" x14ac:dyDescent="0.25">
      <c r="A231" s="1486"/>
      <c r="B231" s="838" t="s">
        <v>66</v>
      </c>
      <c r="C231" s="840"/>
      <c r="D231" s="843"/>
      <c r="E231" s="842"/>
      <c r="F231" s="836"/>
    </row>
    <row r="232" spans="1:6" customFormat="1" ht="13.5" thickBot="1" x14ac:dyDescent="0.25">
      <c r="A232" s="1487"/>
      <c r="B232" s="839" t="s">
        <v>11</v>
      </c>
      <c r="C232" s="841">
        <f>SUM(C224:C231)</f>
        <v>82386000</v>
      </c>
      <c r="D232" s="1339">
        <f>SUM(D224:D231)</f>
        <v>82386000</v>
      </c>
      <c r="E232" s="837">
        <f>SUM(E224:E231)</f>
        <v>79530521</v>
      </c>
      <c r="F232" s="837">
        <f>E232/D232*100</f>
        <v>96.534023984657594</v>
      </c>
    </row>
    <row r="233" spans="1:6" customFormat="1" ht="24" x14ac:dyDescent="0.2">
      <c r="A233" s="1485" t="s">
        <v>75</v>
      </c>
      <c r="B233" s="636" t="s">
        <v>52</v>
      </c>
      <c r="C233" s="637"/>
      <c r="D233" s="638"/>
      <c r="E233" s="639"/>
      <c r="F233" s="667"/>
    </row>
    <row r="234" spans="1:6" customFormat="1" ht="36" x14ac:dyDescent="0.2">
      <c r="A234" s="1486"/>
      <c r="B234" s="641" t="s">
        <v>57</v>
      </c>
      <c r="C234" s="642"/>
      <c r="D234" s="643"/>
      <c r="E234" s="644"/>
      <c r="F234" s="645"/>
    </row>
    <row r="235" spans="1:6" customFormat="1" x14ac:dyDescent="0.2">
      <c r="A235" s="1486"/>
      <c r="B235" s="641" t="s">
        <v>70</v>
      </c>
      <c r="C235" s="642"/>
      <c r="D235" s="643"/>
      <c r="E235" s="644"/>
      <c r="F235" s="645"/>
    </row>
    <row r="236" spans="1:6" customFormat="1" x14ac:dyDescent="0.2">
      <c r="A236" s="1486"/>
      <c r="B236" s="641" t="s">
        <v>50</v>
      </c>
      <c r="C236" s="642"/>
      <c r="D236" s="643"/>
      <c r="E236" s="644">
        <v>1</v>
      </c>
      <c r="F236" s="645"/>
    </row>
    <row r="237" spans="1:6" customFormat="1" x14ac:dyDescent="0.2">
      <c r="A237" s="1486"/>
      <c r="B237" s="641" t="s">
        <v>71</v>
      </c>
      <c r="C237" s="642"/>
      <c r="D237" s="643"/>
      <c r="E237" s="644"/>
      <c r="F237" s="645"/>
    </row>
    <row r="238" spans="1:6" customFormat="1" ht="24" x14ac:dyDescent="0.2">
      <c r="A238" s="1486"/>
      <c r="B238" s="641" t="s">
        <v>68</v>
      </c>
      <c r="C238" s="642"/>
      <c r="D238" s="643"/>
      <c r="E238" s="644"/>
      <c r="F238" s="645"/>
    </row>
    <row r="239" spans="1:6" customFormat="1" ht="24" x14ac:dyDescent="0.2">
      <c r="A239" s="1486"/>
      <c r="B239" s="641" t="s">
        <v>59</v>
      </c>
      <c r="C239" s="646"/>
      <c r="D239" s="643"/>
      <c r="E239" s="644"/>
      <c r="F239" s="645"/>
    </row>
    <row r="240" spans="1:6" customFormat="1" ht="13.5" thickBot="1" x14ac:dyDescent="0.25">
      <c r="A240" s="1486"/>
      <c r="B240" s="838" t="s">
        <v>66</v>
      </c>
      <c r="C240" s="840">
        <v>93203667</v>
      </c>
      <c r="D240" s="843">
        <v>84313667</v>
      </c>
      <c r="E240" s="842"/>
      <c r="F240" s="645">
        <f>E240/D240*100</f>
        <v>0</v>
      </c>
    </row>
    <row r="241" spans="1:6" customFormat="1" ht="13.5" thickBot="1" x14ac:dyDescent="0.25">
      <c r="A241" s="1487"/>
      <c r="B241" s="839" t="s">
        <v>11</v>
      </c>
      <c r="C241" s="841">
        <f>SUM(C233:C240)</f>
        <v>93203667</v>
      </c>
      <c r="D241" s="837">
        <f>SUM(D233:D240)</f>
        <v>84313667</v>
      </c>
      <c r="E241" s="837">
        <f>SUM(E233:E240)</f>
        <v>1</v>
      </c>
      <c r="F241" s="837">
        <f>E241/D241*100</f>
        <v>1.186047334413767E-6</v>
      </c>
    </row>
    <row r="242" spans="1:6" customFormat="1" ht="24" x14ac:dyDescent="0.2">
      <c r="A242" s="1485" t="s">
        <v>11</v>
      </c>
      <c r="B242" s="654" t="s">
        <v>52</v>
      </c>
      <c r="C242" s="844">
        <f>C5+C14+C23+C32+C41+C51+C60+C69+C78+C87+C96+C105+C124+C133+C142+C151+C160+C169+C178+C187+C196+C206+C215+C224+C233</f>
        <v>345067702</v>
      </c>
      <c r="D242" s="844">
        <f>D5+D14+D23+D32+D41+D51+D60+D69+D78+D87+D96+D105+D124+D133+D142+D151+D160+D169+D178+D187+D196+D206+D215+D224+D233+D115</f>
        <v>762649905</v>
      </c>
      <c r="E242" s="844">
        <f t="shared" ref="E242" si="8">E5+E14+E23+E32+E41+E51+E60+E69+E78+E87+E96+E105+E124+E133+E142+E151+E160+E169+E178+E187+E196+E206+E215+E224+E233</f>
        <v>732810579</v>
      </c>
      <c r="F242" s="835">
        <f>E242/D242*100</f>
        <v>96.087414971880179</v>
      </c>
    </row>
    <row r="243" spans="1:6" customFormat="1" ht="36" x14ac:dyDescent="0.2">
      <c r="A243" s="1486"/>
      <c r="B243" s="641" t="s">
        <v>57</v>
      </c>
      <c r="C243" s="844">
        <f t="shared" ref="C243:E243" si="9">C6+C15+C24+C33+C42+C52+C61+C70+C79+C88+C97+C106+C125+C134+C143+C152+C161+C170+C179+C188+C197+C207+C216+C225+C234</f>
        <v>2211232878</v>
      </c>
      <c r="D243" s="844">
        <f t="shared" ref="D243:D249" si="10">D6+D15+D24+D33+D42+D52+D61+D70+D79+D88+D97+D106+D125+D134+D143+D152+D161+D170+D179+D188+D197+D207+D216+D225+D234+D116</f>
        <v>2233189249</v>
      </c>
      <c r="E243" s="844">
        <f t="shared" si="9"/>
        <v>1005277376</v>
      </c>
      <c r="F243" s="835">
        <f t="shared" ref="F243:F250" si="11">E243/D243*100</f>
        <v>45.015324001320231</v>
      </c>
    </row>
    <row r="244" spans="1:6" customFormat="1" x14ac:dyDescent="0.2">
      <c r="A244" s="1486"/>
      <c r="B244" s="641" t="s">
        <v>70</v>
      </c>
      <c r="C244" s="844">
        <f t="shared" ref="C244:E244" si="12">C7+C16+C25+C34+C43+C53+C62+C71+C80+C89+C98+C107+C126+C135+C144+C153+C162+C171+C180+C189+C198+C208+C217+C226+C235</f>
        <v>82386000</v>
      </c>
      <c r="D244" s="844">
        <f t="shared" si="10"/>
        <v>82386000</v>
      </c>
      <c r="E244" s="844">
        <f t="shared" si="12"/>
        <v>79516774</v>
      </c>
      <c r="F244" s="835"/>
    </row>
    <row r="245" spans="1:6" customFormat="1" x14ac:dyDescent="0.2">
      <c r="A245" s="1486"/>
      <c r="B245" s="641" t="s">
        <v>50</v>
      </c>
      <c r="C245" s="844">
        <f t="shared" ref="C245:E245" si="13">C8+C17+C26+C35+C44+C54+C63+C72+C81+C90+C99+C108+C127+C136+C145+C154+C163+C172+C181+C190+C199+C209+C218+C227+C236</f>
        <v>44080360</v>
      </c>
      <c r="D245" s="844">
        <f t="shared" si="10"/>
        <v>80121352</v>
      </c>
      <c r="E245" s="844">
        <f t="shared" si="13"/>
        <v>72020564</v>
      </c>
      <c r="F245" s="835">
        <f t="shared" si="11"/>
        <v>89.889351842190578</v>
      </c>
    </row>
    <row r="246" spans="1:6" customFormat="1" x14ac:dyDescent="0.2">
      <c r="A246" s="1486"/>
      <c r="B246" s="641" t="s">
        <v>71</v>
      </c>
      <c r="C246" s="844">
        <f t="shared" ref="C246:E246" si="14">C9+C18+C27+C36+C45+C55+C64+C73+C82+C91+C100+C109+C128+C137+C146+C155+C164+C173+C182+C191+C200+C210+C219+C228+C237</f>
        <v>5179650</v>
      </c>
      <c r="D246" s="844">
        <f t="shared" si="10"/>
        <v>11762468</v>
      </c>
      <c r="E246" s="844">
        <f t="shared" si="14"/>
        <v>3046456</v>
      </c>
      <c r="F246" s="835">
        <f t="shared" si="11"/>
        <v>25.899802660462072</v>
      </c>
    </row>
    <row r="247" spans="1:6" customFormat="1" ht="24" x14ac:dyDescent="0.2">
      <c r="A247" s="1486"/>
      <c r="B247" s="641" t="s">
        <v>68</v>
      </c>
      <c r="C247" s="844">
        <f t="shared" ref="C247:E247" si="15">C10+C19+C28+C37+C46+C56+C65+C74+C83+C92+C101+C110+C129+C138+C147+C156+C165+C174+C183+C192+C201+C211+C220+C229+C238</f>
        <v>8038004</v>
      </c>
      <c r="D247" s="844">
        <f t="shared" si="10"/>
        <v>13522040</v>
      </c>
      <c r="E247" s="844">
        <f t="shared" si="15"/>
        <v>13132101</v>
      </c>
      <c r="F247" s="835">
        <f t="shared" si="11"/>
        <v>97.116270917701769</v>
      </c>
    </row>
    <row r="248" spans="1:6" customFormat="1" ht="24" x14ac:dyDescent="0.2">
      <c r="A248" s="1486"/>
      <c r="B248" s="641" t="s">
        <v>59</v>
      </c>
      <c r="C248" s="844">
        <f t="shared" ref="C248:E248" si="16">C11+C20+C29+C38+C47+C57+C66+C75+C84+C93+C102+C111+C130+C139+C148+C157+C166+C175+C184+C193+C202+C212+C221+C230+C239</f>
        <v>0</v>
      </c>
      <c r="D248" s="844">
        <f t="shared" si="10"/>
        <v>0</v>
      </c>
      <c r="E248" s="844">
        <f t="shared" si="16"/>
        <v>0</v>
      </c>
      <c r="F248" s="835"/>
    </row>
    <row r="249" spans="1:6" customFormat="1" ht="13.5" thickBot="1" x14ac:dyDescent="0.25">
      <c r="A249" s="1486"/>
      <c r="B249" s="838" t="s">
        <v>66</v>
      </c>
      <c r="C249" s="844">
        <f t="shared" ref="C249:E249" si="17">C12+C21+C30+C39+C48+C58+C67+C76+C85+C94+C103+C112+C131+C140+C149+C158+C167+C176+C185+C194+C203+C213+C222+C231+C240</f>
        <v>237240205</v>
      </c>
      <c r="D249" s="844">
        <f t="shared" si="10"/>
        <v>243766161</v>
      </c>
      <c r="E249" s="844">
        <f t="shared" si="17"/>
        <v>181832150</v>
      </c>
      <c r="F249" s="1310">
        <f t="shared" si="11"/>
        <v>74.592859506861572</v>
      </c>
    </row>
    <row r="250" spans="1:6" customFormat="1" ht="13.5" thickBot="1" x14ac:dyDescent="0.25">
      <c r="A250" s="1487"/>
      <c r="B250" s="839" t="s">
        <v>11</v>
      </c>
      <c r="C250" s="1311">
        <f>SUM(C242:C249)</f>
        <v>2933224799</v>
      </c>
      <c r="D250" s="1311">
        <f t="shared" ref="D250:E250" si="18">SUM(D242:D249)</f>
        <v>3427397175</v>
      </c>
      <c r="E250" s="1311">
        <f t="shared" si="18"/>
        <v>2087636000</v>
      </c>
      <c r="F250" s="1312">
        <f t="shared" si="11"/>
        <v>60.910244521048249</v>
      </c>
    </row>
    <row r="252" spans="1:6" x14ac:dyDescent="0.2">
      <c r="C252" s="1110"/>
    </row>
    <row r="254" spans="1:6" x14ac:dyDescent="0.2">
      <c r="C254" s="1017"/>
      <c r="D254" s="1017"/>
      <c r="E254" s="1017"/>
    </row>
    <row r="256" spans="1:6" x14ac:dyDescent="0.2">
      <c r="C256" s="1017"/>
    </row>
  </sheetData>
  <mergeCells count="28">
    <mergeCell ref="A160:A168"/>
    <mergeCell ref="A169:A177"/>
    <mergeCell ref="A105:A113"/>
    <mergeCell ref="A242:A250"/>
    <mergeCell ref="A224:A232"/>
    <mergeCell ref="A233:A241"/>
    <mergeCell ref="A206:A214"/>
    <mergeCell ref="A215:A223"/>
    <mergeCell ref="A124:A132"/>
    <mergeCell ref="A133:A141"/>
    <mergeCell ref="A142:A150"/>
    <mergeCell ref="A178:A186"/>
    <mergeCell ref="A196:A204"/>
    <mergeCell ref="A151:A159"/>
    <mergeCell ref="A187:A195"/>
    <mergeCell ref="A115:A123"/>
    <mergeCell ref="A1:G1"/>
    <mergeCell ref="A5:A13"/>
    <mergeCell ref="A14:A22"/>
    <mergeCell ref="A23:A31"/>
    <mergeCell ref="A32:A40"/>
    <mergeCell ref="A96:A104"/>
    <mergeCell ref="A41:A49"/>
    <mergeCell ref="A51:A59"/>
    <mergeCell ref="A60:A68"/>
    <mergeCell ref="A78:A86"/>
    <mergeCell ref="A87:A95"/>
    <mergeCell ref="A69:A77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&amp;R1.1.sz. melléklete
......../2019.(V.30.) Egyek Önk.</oddHeader>
  </headerFooter>
  <rowBreaks count="3" manualBreakCount="3">
    <brk id="49" max="6" man="1"/>
    <brk id="113" max="6" man="1"/>
    <brk id="204" max="6" man="1"/>
  </rowBreaks>
  <colBreaks count="1" manualBreakCount="1">
    <brk id="7" max="15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zoomScale="120" zoomScaleNormal="120" workbookViewId="0">
      <selection activeCell="K23" sqref="K23"/>
    </sheetView>
  </sheetViews>
  <sheetFormatPr defaultColWidth="9.140625" defaultRowHeight="12.75" x14ac:dyDescent="0.2"/>
  <cols>
    <col min="1" max="1" width="1.42578125" style="375" customWidth="1"/>
    <col min="2" max="2" width="6.140625" style="375" customWidth="1"/>
    <col min="3" max="3" width="65.28515625" style="375" customWidth="1"/>
    <col min="4" max="4" width="16.85546875" style="378" customWidth="1"/>
    <col min="5" max="6" width="9.140625" style="375"/>
    <col min="7" max="7" width="12.5703125" style="375" customWidth="1"/>
    <col min="8" max="16384" width="9.140625" style="375"/>
  </cols>
  <sheetData>
    <row r="2" spans="2:7" x14ac:dyDescent="0.2">
      <c r="B2" s="1572" t="s">
        <v>450</v>
      </c>
      <c r="C2" s="1572"/>
      <c r="D2" s="1572"/>
    </row>
    <row r="3" spans="2:7" ht="15.75" x14ac:dyDescent="0.25">
      <c r="B3" s="1573" t="s">
        <v>543</v>
      </c>
      <c r="C3" s="1573"/>
      <c r="D3" s="1573"/>
      <c r="E3" s="376"/>
      <c r="F3" s="376"/>
    </row>
    <row r="4" spans="2:7" ht="15.75" x14ac:dyDescent="0.25">
      <c r="B4" s="377"/>
      <c r="C4" s="377"/>
      <c r="D4" s="377"/>
      <c r="E4" s="376"/>
      <c r="F4" s="376"/>
    </row>
    <row r="5" spans="2:7" ht="15.75" x14ac:dyDescent="0.25">
      <c r="B5" s="1574" t="s">
        <v>154</v>
      </c>
      <c r="C5" s="1574"/>
      <c r="D5" s="377"/>
      <c r="E5" s="376"/>
      <c r="F5" s="376"/>
    </row>
    <row r="6" spans="2:7" ht="15.75" x14ac:dyDescent="0.25">
      <c r="B6" s="377"/>
      <c r="C6" s="377"/>
      <c r="D6" s="377"/>
      <c r="E6" s="376"/>
      <c r="F6" s="376"/>
    </row>
    <row r="7" spans="2:7" ht="15.75" x14ac:dyDescent="0.25">
      <c r="B7" s="377"/>
      <c r="C7" s="377"/>
      <c r="D7" s="377"/>
      <c r="E7" s="376"/>
      <c r="F7" s="376"/>
    </row>
    <row r="8" spans="2:7" ht="13.5" thickBot="1" x14ac:dyDescent="0.25">
      <c r="B8" s="1575"/>
      <c r="C8" s="1575"/>
      <c r="D8" s="1575"/>
      <c r="E8" s="378"/>
    </row>
    <row r="9" spans="2:7" ht="13.5" thickBot="1" x14ac:dyDescent="0.25">
      <c r="B9" s="1575" t="s">
        <v>184</v>
      </c>
      <c r="C9" s="1575"/>
      <c r="D9" s="1575"/>
      <c r="G9" s="378"/>
    </row>
    <row r="10" spans="2:7" ht="32.25" thickBot="1" x14ac:dyDescent="0.3">
      <c r="B10" s="379" t="s">
        <v>23</v>
      </c>
      <c r="C10" s="380" t="s">
        <v>180</v>
      </c>
      <c r="D10" s="381" t="s">
        <v>181</v>
      </c>
    </row>
    <row r="11" spans="2:7" ht="15.75" x14ac:dyDescent="0.25">
      <c r="B11" s="382" t="s">
        <v>0</v>
      </c>
      <c r="C11" s="383" t="s">
        <v>292</v>
      </c>
      <c r="D11" s="384">
        <v>812177</v>
      </c>
    </row>
    <row r="12" spans="2:7" s="391" customFormat="1" ht="16.5" thickBot="1" x14ac:dyDescent="0.3">
      <c r="B12" s="385" t="s">
        <v>4</v>
      </c>
      <c r="C12" s="386" t="s">
        <v>293</v>
      </c>
      <c r="D12" s="387">
        <v>13338754</v>
      </c>
    </row>
    <row r="13" spans="2:7" s="395" customFormat="1" ht="16.5" thickBot="1" x14ac:dyDescent="0.3">
      <c r="B13" s="388" t="s">
        <v>8</v>
      </c>
      <c r="C13" s="389" t="s">
        <v>294</v>
      </c>
      <c r="D13" s="390">
        <f>D11-D12</f>
        <v>-12526577</v>
      </c>
    </row>
    <row r="14" spans="2:7" s="391" customFormat="1" ht="15.75" x14ac:dyDescent="0.25">
      <c r="B14" s="392" t="s">
        <v>2</v>
      </c>
      <c r="C14" s="393" t="s">
        <v>295</v>
      </c>
      <c r="D14" s="394">
        <v>12537836</v>
      </c>
    </row>
    <row r="15" spans="2:7" ht="16.5" thickBot="1" x14ac:dyDescent="0.3">
      <c r="B15" s="522" t="s">
        <v>5</v>
      </c>
      <c r="C15" s="386" t="s">
        <v>296</v>
      </c>
      <c r="D15" s="523"/>
    </row>
    <row r="16" spans="2:7" s="396" customFormat="1" ht="16.5" thickBot="1" x14ac:dyDescent="0.3">
      <c r="B16" s="524" t="s">
        <v>9</v>
      </c>
      <c r="C16" s="525" t="s">
        <v>297</v>
      </c>
      <c r="D16" s="526">
        <f>D14-D15</f>
        <v>12537836</v>
      </c>
    </row>
    <row r="17" spans="2:4" s="395" customFormat="1" ht="15.75" x14ac:dyDescent="0.25">
      <c r="B17" s="527" t="s">
        <v>3</v>
      </c>
      <c r="C17" s="528" t="s">
        <v>298</v>
      </c>
      <c r="D17" s="529">
        <f>D13+D16</f>
        <v>11259</v>
      </c>
    </row>
    <row r="18" spans="2:4" s="395" customFormat="1" ht="15.75" x14ac:dyDescent="0.25">
      <c r="B18" s="397" t="s">
        <v>10</v>
      </c>
      <c r="C18" s="398" t="s">
        <v>299</v>
      </c>
      <c r="D18" s="399">
        <v>0</v>
      </c>
    </row>
    <row r="19" spans="2:4" s="395" customFormat="1" ht="16.5" thickBot="1" x14ac:dyDescent="0.3">
      <c r="B19" s="530" t="s">
        <v>6</v>
      </c>
      <c r="C19" s="531" t="s">
        <v>300</v>
      </c>
      <c r="D19" s="532">
        <v>0</v>
      </c>
    </row>
    <row r="20" spans="2:4" ht="16.5" thickBot="1" x14ac:dyDescent="0.3">
      <c r="B20" s="533" t="s">
        <v>1</v>
      </c>
      <c r="C20" s="534" t="s">
        <v>301</v>
      </c>
      <c r="D20" s="535">
        <f>D18-D19</f>
        <v>0</v>
      </c>
    </row>
    <row r="21" spans="2:4" ht="15.75" x14ac:dyDescent="0.25">
      <c r="B21" s="536" t="s">
        <v>7</v>
      </c>
      <c r="C21" s="537" t="s">
        <v>302</v>
      </c>
      <c r="D21" s="538">
        <v>0</v>
      </c>
    </row>
    <row r="22" spans="2:4" s="391" customFormat="1" ht="16.5" thickBot="1" x14ac:dyDescent="0.3">
      <c r="B22" s="530" t="s">
        <v>15</v>
      </c>
      <c r="C22" s="531" t="s">
        <v>303</v>
      </c>
      <c r="D22" s="532">
        <v>0</v>
      </c>
    </row>
    <row r="23" spans="2:4" s="391" customFormat="1" ht="16.5" thickBot="1" x14ac:dyDescent="0.3">
      <c r="B23" s="524" t="s">
        <v>13</v>
      </c>
      <c r="C23" s="525" t="s">
        <v>304</v>
      </c>
      <c r="D23" s="526">
        <f>D21-D22</f>
        <v>0</v>
      </c>
    </row>
    <row r="24" spans="2:4" s="391" customFormat="1" ht="16.5" thickBot="1" x14ac:dyDescent="0.3">
      <c r="B24" s="533" t="s">
        <v>25</v>
      </c>
      <c r="C24" s="534" t="s">
        <v>305</v>
      </c>
      <c r="D24" s="535">
        <f>D20+D23</f>
        <v>0</v>
      </c>
    </row>
    <row r="25" spans="2:4" s="391" customFormat="1" ht="16.5" thickBot="1" x14ac:dyDescent="0.3">
      <c r="B25" s="539" t="s">
        <v>28</v>
      </c>
      <c r="C25" s="540" t="s">
        <v>306</v>
      </c>
      <c r="D25" s="541">
        <f>D17+D24</f>
        <v>11259</v>
      </c>
    </row>
    <row r="26" spans="2:4" ht="16.5" thickBot="1" x14ac:dyDescent="0.3">
      <c r="B26" s="542" t="s">
        <v>26</v>
      </c>
      <c r="C26" s="543" t="s">
        <v>307</v>
      </c>
      <c r="D26" s="544">
        <v>11259</v>
      </c>
    </row>
    <row r="27" spans="2:4" ht="16.5" thickBot="1" x14ac:dyDescent="0.3">
      <c r="B27" s="403" t="s">
        <v>29</v>
      </c>
      <c r="C27" s="403" t="s">
        <v>308</v>
      </c>
      <c r="D27" s="404">
        <v>0</v>
      </c>
    </row>
    <row r="28" spans="2:4" ht="16.5" thickBot="1" x14ac:dyDescent="0.3">
      <c r="B28" s="400" t="s">
        <v>30</v>
      </c>
      <c r="C28" s="401" t="s">
        <v>309</v>
      </c>
      <c r="D28" s="402">
        <f>D24*0.1</f>
        <v>0</v>
      </c>
    </row>
    <row r="29" spans="2:4" ht="16.5" thickBot="1" x14ac:dyDescent="0.3">
      <c r="B29" s="400" t="s">
        <v>31</v>
      </c>
      <c r="C29" s="401" t="s">
        <v>310</v>
      </c>
      <c r="D29" s="402">
        <f>D24-D28</f>
        <v>0</v>
      </c>
    </row>
  </sheetData>
  <mergeCells count="5">
    <mergeCell ref="B2:D2"/>
    <mergeCell ref="B3:D3"/>
    <mergeCell ref="B5:C5"/>
    <mergeCell ref="B8:D8"/>
    <mergeCell ref="B9:D9"/>
  </mergeCells>
  <pageMargins left="0.75" right="0.75" top="1" bottom="1" header="0.5" footer="0.51180555555555562"/>
  <pageSetup paperSize="9" scale="97" firstPageNumber="0" orientation="portrait" horizontalDpi="300" verticalDpi="300" r:id="rId1"/>
  <headerFooter alignWithMargins="0">
    <oddHeader>&amp;R7.3.sz. melléklet
......../2019.(V.30.)Egyek Önk.r.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zoomScale="130" zoomScaleNormal="130" workbookViewId="0">
      <selection activeCell="C7" sqref="C7"/>
    </sheetView>
  </sheetViews>
  <sheetFormatPr defaultRowHeight="12.75" x14ac:dyDescent="0.2"/>
  <cols>
    <col min="1" max="1" width="8.85546875" customWidth="1"/>
    <col min="2" max="2" width="48.7109375" customWidth="1"/>
    <col min="3" max="3" width="20.28515625" customWidth="1"/>
    <col min="4" max="4" width="17.85546875" customWidth="1"/>
    <col min="5" max="5" width="18.140625" customWidth="1"/>
    <col min="6" max="6" width="16.42578125" style="1094" customWidth="1"/>
  </cols>
  <sheetData>
    <row r="1" spans="1:6" x14ac:dyDescent="0.2">
      <c r="F1" s="1093"/>
    </row>
    <row r="2" spans="1:6" x14ac:dyDescent="0.2">
      <c r="A2" s="500"/>
      <c r="B2" s="501"/>
      <c r="C2" s="501"/>
      <c r="D2" s="501"/>
      <c r="E2" s="501"/>
    </row>
    <row r="3" spans="1:6" ht="50.25" customHeight="1" x14ac:dyDescent="0.2">
      <c r="A3" s="1577" t="s">
        <v>586</v>
      </c>
      <c r="B3" s="1577"/>
      <c r="C3" s="1577"/>
      <c r="D3" s="1577"/>
      <c r="E3" s="1577"/>
      <c r="F3" s="1577"/>
    </row>
    <row r="4" spans="1:6" ht="16.5" thickBot="1" x14ac:dyDescent="0.3">
      <c r="A4" s="502"/>
      <c r="B4" s="501"/>
      <c r="C4" s="501"/>
      <c r="D4" s="501"/>
      <c r="E4" s="501"/>
    </row>
    <row r="5" spans="1:6" ht="48" thickBot="1" x14ac:dyDescent="0.25">
      <c r="A5" s="1233" t="s">
        <v>188</v>
      </c>
      <c r="B5" s="1230" t="s">
        <v>276</v>
      </c>
      <c r="C5" s="1231" t="s">
        <v>277</v>
      </c>
      <c r="D5" s="1231" t="s">
        <v>278</v>
      </c>
      <c r="E5" s="1232" t="s">
        <v>385</v>
      </c>
      <c r="F5" s="1246" t="s">
        <v>413</v>
      </c>
    </row>
    <row r="6" spans="1:6" ht="15.75" x14ac:dyDescent="0.25">
      <c r="A6" s="1228" t="s">
        <v>0</v>
      </c>
      <c r="B6" s="1235" t="s">
        <v>35</v>
      </c>
      <c r="C6" s="1241">
        <v>100</v>
      </c>
      <c r="D6" s="1241">
        <v>3000000</v>
      </c>
      <c r="E6" s="1241"/>
      <c r="F6" s="1242">
        <f>D6-E6</f>
        <v>3000000</v>
      </c>
    </row>
    <row r="7" spans="1:6" ht="15.75" x14ac:dyDescent="0.25">
      <c r="A7" s="1229" t="s">
        <v>4</v>
      </c>
      <c r="B7" s="1235" t="s">
        <v>384</v>
      </c>
      <c r="C7" s="1241">
        <v>1.2999999999999999E-2</v>
      </c>
      <c r="D7" s="1241">
        <v>50000</v>
      </c>
      <c r="E7" s="1241">
        <v>43255</v>
      </c>
      <c r="F7" s="1242">
        <f>D7-E7</f>
        <v>6745</v>
      </c>
    </row>
    <row r="8" spans="1:6" ht="15.75" x14ac:dyDescent="0.25">
      <c r="A8" s="1229" t="s">
        <v>8</v>
      </c>
      <c r="B8" s="1235" t="s">
        <v>443</v>
      </c>
      <c r="C8" s="1241">
        <v>2.7E-2</v>
      </c>
      <c r="D8" s="1241">
        <v>80000</v>
      </c>
      <c r="E8" s="1241"/>
      <c r="F8" s="1242">
        <f t="shared" ref="F8" si="0">D8-E8</f>
        <v>80000</v>
      </c>
    </row>
    <row r="9" spans="1:6" ht="15.75" x14ac:dyDescent="0.25">
      <c r="A9" s="1229" t="s">
        <v>2</v>
      </c>
      <c r="B9" s="1235" t="s">
        <v>444</v>
      </c>
      <c r="C9" s="1241">
        <v>0.13400000000000001</v>
      </c>
      <c r="D9" s="1241">
        <v>247900000</v>
      </c>
      <c r="E9" s="1241">
        <v>191924180</v>
      </c>
      <c r="F9" s="1242">
        <f>D9-E9</f>
        <v>55975820</v>
      </c>
    </row>
    <row r="10" spans="1:6" ht="15.75" x14ac:dyDescent="0.25">
      <c r="A10" s="1229" t="s">
        <v>5</v>
      </c>
      <c r="B10" s="1235" t="s">
        <v>445</v>
      </c>
      <c r="C10" s="1241">
        <v>6.9999999999999999E-6</v>
      </c>
      <c r="D10" s="1241">
        <v>7200</v>
      </c>
      <c r="E10" s="1241"/>
      <c r="F10" s="1242">
        <f t="shared" ref="F10:F12" si="1">D10-E10</f>
        <v>7200</v>
      </c>
    </row>
    <row r="11" spans="1:6" ht="15.75" x14ac:dyDescent="0.25">
      <c r="A11" s="1229" t="s">
        <v>9</v>
      </c>
      <c r="B11" s="1236" t="s">
        <v>477</v>
      </c>
      <c r="C11" s="1243">
        <v>0.33333299999999999</v>
      </c>
      <c r="D11" s="1245">
        <v>10000</v>
      </c>
      <c r="E11" s="1244">
        <v>10000</v>
      </c>
      <c r="F11" s="1242">
        <f t="shared" si="1"/>
        <v>0</v>
      </c>
    </row>
    <row r="12" spans="1:6" ht="15.75" x14ac:dyDescent="0.25">
      <c r="A12" s="1229" t="s">
        <v>3</v>
      </c>
      <c r="B12" s="1236" t="s">
        <v>519</v>
      </c>
      <c r="C12" s="1097">
        <v>0.14285700000000001</v>
      </c>
      <c r="D12" s="1095">
        <v>9000</v>
      </c>
      <c r="E12" s="1096">
        <v>9000</v>
      </c>
      <c r="F12" s="1242">
        <f t="shared" si="1"/>
        <v>0</v>
      </c>
    </row>
    <row r="13" spans="1:6" ht="15.75" x14ac:dyDescent="0.25">
      <c r="A13" s="1229" t="s">
        <v>10</v>
      </c>
      <c r="B13" s="1236"/>
      <c r="C13" s="1098"/>
      <c r="D13" s="1095"/>
      <c r="E13" s="1096"/>
      <c r="F13" s="1247"/>
    </row>
    <row r="14" spans="1:6" ht="15.75" x14ac:dyDescent="0.25">
      <c r="A14" s="1229" t="s">
        <v>6</v>
      </c>
      <c r="B14" s="1236"/>
      <c r="C14" s="1098"/>
      <c r="D14" s="1095"/>
      <c r="E14" s="1096"/>
      <c r="F14" s="1247"/>
    </row>
    <row r="15" spans="1:6" ht="15.75" x14ac:dyDescent="0.25">
      <c r="A15" s="1229" t="s">
        <v>1</v>
      </c>
      <c r="B15" s="1236"/>
      <c r="C15" s="1098"/>
      <c r="D15" s="1095"/>
      <c r="E15" s="1096"/>
      <c r="F15" s="1247"/>
    </row>
    <row r="16" spans="1:6" ht="15.75" x14ac:dyDescent="0.25">
      <c r="A16" s="1229" t="s">
        <v>7</v>
      </c>
      <c r="B16" s="1236"/>
      <c r="C16" s="1098"/>
      <c r="D16" s="1095"/>
      <c r="E16" s="1096"/>
      <c r="F16" s="1247"/>
    </row>
    <row r="17" spans="1:6" ht="15.75" x14ac:dyDescent="0.25">
      <c r="A17" s="1229" t="s">
        <v>15</v>
      </c>
      <c r="B17" s="1236"/>
      <c r="C17" s="1098"/>
      <c r="D17" s="1095"/>
      <c r="E17" s="1096"/>
      <c r="F17" s="1247"/>
    </row>
    <row r="18" spans="1:6" ht="15.75" x14ac:dyDescent="0.25">
      <c r="A18" s="1229" t="s">
        <v>13</v>
      </c>
      <c r="B18" s="1236"/>
      <c r="C18" s="1098"/>
      <c r="D18" s="1095"/>
      <c r="E18" s="1096"/>
      <c r="F18" s="1247"/>
    </row>
    <row r="19" spans="1:6" ht="15.75" x14ac:dyDescent="0.25">
      <c r="A19" s="1229" t="s">
        <v>25</v>
      </c>
      <c r="B19" s="1236"/>
      <c r="C19" s="1098"/>
      <c r="D19" s="1095"/>
      <c r="E19" s="1096"/>
      <c r="F19" s="1247"/>
    </row>
    <row r="20" spans="1:6" ht="15.75" x14ac:dyDescent="0.25">
      <c r="A20" s="1229" t="s">
        <v>28</v>
      </c>
      <c r="B20" s="1236"/>
      <c r="C20" s="1098"/>
      <c r="D20" s="1095"/>
      <c r="E20" s="1096"/>
      <c r="F20" s="1247"/>
    </row>
    <row r="21" spans="1:6" ht="15.75" x14ac:dyDescent="0.25">
      <c r="A21" s="1229" t="s">
        <v>26</v>
      </c>
      <c r="B21" s="1236"/>
      <c r="C21" s="1098"/>
      <c r="D21" s="1095"/>
      <c r="E21" s="1096"/>
      <c r="F21" s="1247"/>
    </row>
    <row r="22" spans="1:6" ht="16.5" thickBot="1" x14ac:dyDescent="0.3">
      <c r="A22" s="1234" t="s">
        <v>27</v>
      </c>
      <c r="B22" s="1237"/>
      <c r="C22" s="1238"/>
      <c r="D22" s="1239"/>
      <c r="E22" s="1240"/>
      <c r="F22" s="1248"/>
    </row>
    <row r="23" spans="1:6" s="85" customFormat="1" ht="16.5" thickBot="1" x14ac:dyDescent="0.3">
      <c r="A23" s="1578" t="s">
        <v>279</v>
      </c>
      <c r="B23" s="1579"/>
      <c r="C23" s="503"/>
      <c r="D23" s="1099">
        <f>IF(SUM(D6:D22)=0,"",SUM(D6:D22))</f>
        <v>251056200</v>
      </c>
      <c r="E23" s="1100">
        <f>SUM(E6:E22)</f>
        <v>191986435</v>
      </c>
      <c r="F23" s="1100">
        <f>SUM(F6:F22)</f>
        <v>59069765</v>
      </c>
    </row>
    <row r="24" spans="1:6" ht="15.75" x14ac:dyDescent="0.25">
      <c r="A24" s="502"/>
      <c r="B24" s="501"/>
      <c r="C24" s="501"/>
      <c r="D24" s="501"/>
      <c r="E24" s="501"/>
    </row>
  </sheetData>
  <mergeCells count="2">
    <mergeCell ref="A3:F3"/>
    <mergeCell ref="A23:B2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&amp;R8.sz.melléklet
........./2019.(V.30.) Egyek Önk.r.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topLeftCell="A8" zoomScale="130" zoomScaleNormal="130" workbookViewId="0">
      <selection activeCell="D45" sqref="D45"/>
    </sheetView>
  </sheetViews>
  <sheetFormatPr defaultColWidth="9.140625" defaultRowHeight="12.75" x14ac:dyDescent="0.2"/>
  <cols>
    <col min="1" max="1" width="2.85546875" style="375" customWidth="1"/>
    <col min="2" max="2" width="63" style="375" customWidth="1"/>
    <col min="3" max="3" width="17.42578125" style="883" customWidth="1"/>
    <col min="4" max="4" width="22.42578125" style="883" customWidth="1"/>
    <col min="5" max="5" width="21.7109375" style="883" customWidth="1"/>
    <col min="6" max="6" width="23.7109375" style="883" customWidth="1"/>
    <col min="7" max="7" width="13.7109375" style="883" bestFit="1" customWidth="1"/>
    <col min="8" max="16384" width="9.140625" style="375"/>
  </cols>
  <sheetData>
    <row r="1" spans="2:7" x14ac:dyDescent="0.2">
      <c r="B1" s="1581"/>
      <c r="C1" s="1581"/>
      <c r="D1" s="1581"/>
      <c r="E1" s="1581"/>
      <c r="F1" s="405"/>
    </row>
    <row r="2" spans="2:7" ht="15" x14ac:dyDescent="0.2">
      <c r="B2" s="1585"/>
      <c r="C2" s="1585"/>
      <c r="D2" s="1585"/>
      <c r="E2" s="1585"/>
      <c r="F2" s="1585"/>
    </row>
    <row r="3" spans="2:7" ht="15" x14ac:dyDescent="0.2">
      <c r="B3" s="1582" t="s">
        <v>182</v>
      </c>
      <c r="C3" s="1582"/>
      <c r="D3" s="1582"/>
      <c r="E3" s="1582"/>
      <c r="F3" s="1582"/>
    </row>
    <row r="4" spans="2:7" ht="15" x14ac:dyDescent="0.2">
      <c r="B4" s="1280"/>
      <c r="C4" s="1281"/>
      <c r="D4" s="1281"/>
      <c r="E4" s="1281"/>
      <c r="F4" s="1281"/>
    </row>
    <row r="5" spans="2:7" ht="15.75" x14ac:dyDescent="0.25">
      <c r="B5" s="1583" t="s">
        <v>527</v>
      </c>
      <c r="C5" s="1583"/>
      <c r="D5" s="1583"/>
      <c r="E5" s="1583"/>
      <c r="F5" s="1583"/>
    </row>
    <row r="6" spans="2:7" x14ac:dyDescent="0.2">
      <c r="B6" s="884"/>
      <c r="C6" s="885"/>
      <c r="D6" s="885"/>
      <c r="E6" s="885"/>
      <c r="F6" s="885"/>
    </row>
    <row r="7" spans="2:7" ht="13.5" thickBot="1" x14ac:dyDescent="0.25">
      <c r="F7" s="1249" t="s">
        <v>184</v>
      </c>
      <c r="G7" s="958"/>
    </row>
    <row r="8" spans="2:7" ht="64.5" thickBot="1" x14ac:dyDescent="0.25">
      <c r="B8" s="1363" t="s">
        <v>180</v>
      </c>
      <c r="C8" s="1364" t="s">
        <v>522</v>
      </c>
      <c r="D8" s="1364" t="s">
        <v>525</v>
      </c>
      <c r="E8" s="1364" t="s">
        <v>523</v>
      </c>
      <c r="F8" s="1365" t="s">
        <v>183</v>
      </c>
      <c r="G8" s="887"/>
    </row>
    <row r="9" spans="2:7" x14ac:dyDescent="0.2">
      <c r="B9" s="1253" t="s">
        <v>595</v>
      </c>
      <c r="C9" s="1254">
        <v>74054</v>
      </c>
      <c r="D9" s="1254">
        <v>74054</v>
      </c>
      <c r="E9" s="1255">
        <v>0</v>
      </c>
      <c r="F9" s="1256">
        <f>C9-D9-E9</f>
        <v>0</v>
      </c>
    </row>
    <row r="10" spans="2:7" x14ac:dyDescent="0.2">
      <c r="B10" s="953" t="s">
        <v>596</v>
      </c>
      <c r="C10" s="954">
        <v>1756400</v>
      </c>
      <c r="D10" s="954">
        <v>1756400</v>
      </c>
      <c r="E10" s="889"/>
      <c r="F10" s="890">
        <f t="shared" ref="F10:F18" si="0">C10-D10-E10</f>
        <v>0</v>
      </c>
    </row>
    <row r="11" spans="2:7" x14ac:dyDescent="0.2">
      <c r="B11" s="892" t="s">
        <v>526</v>
      </c>
      <c r="C11" s="888">
        <v>124493</v>
      </c>
      <c r="D11" s="888">
        <v>124493</v>
      </c>
      <c r="E11" s="889"/>
      <c r="F11" s="890">
        <f t="shared" si="0"/>
        <v>0</v>
      </c>
    </row>
    <row r="12" spans="2:7" x14ac:dyDescent="0.2">
      <c r="B12" s="892" t="s">
        <v>440</v>
      </c>
      <c r="C12" s="888">
        <v>79317000</v>
      </c>
      <c r="D12" s="888">
        <v>79317000</v>
      </c>
      <c r="E12" s="889"/>
      <c r="F12" s="890">
        <f t="shared" si="0"/>
        <v>0</v>
      </c>
    </row>
    <row r="13" spans="2:7" ht="25.5" x14ac:dyDescent="0.2">
      <c r="B13" s="953" t="s">
        <v>316</v>
      </c>
      <c r="C13" s="954">
        <v>6592080</v>
      </c>
      <c r="D13" s="954">
        <v>6592080</v>
      </c>
      <c r="E13" s="889"/>
      <c r="F13" s="890">
        <f>C13-D13-E13</f>
        <v>0</v>
      </c>
    </row>
    <row r="14" spans="2:7" x14ac:dyDescent="0.2">
      <c r="B14" s="953" t="s">
        <v>520</v>
      </c>
      <c r="C14" s="954">
        <v>638075</v>
      </c>
      <c r="D14" s="954">
        <v>638075</v>
      </c>
      <c r="E14" s="889"/>
      <c r="F14" s="890">
        <f>C14-D14-E14</f>
        <v>0</v>
      </c>
    </row>
    <row r="15" spans="2:7" x14ac:dyDescent="0.2">
      <c r="B15" s="891" t="s">
        <v>524</v>
      </c>
      <c r="C15" s="888">
        <v>5549347</v>
      </c>
      <c r="D15" s="888">
        <v>5549347</v>
      </c>
      <c r="E15" s="889"/>
      <c r="F15" s="890">
        <f t="shared" si="0"/>
        <v>0</v>
      </c>
    </row>
    <row r="16" spans="2:7" ht="14.25" customHeight="1" x14ac:dyDescent="0.2">
      <c r="B16" s="953" t="s">
        <v>587</v>
      </c>
      <c r="C16" s="954">
        <v>14656371</v>
      </c>
      <c r="D16" s="954">
        <v>14656343</v>
      </c>
      <c r="E16" s="889"/>
      <c r="F16" s="890">
        <f t="shared" si="0"/>
        <v>28</v>
      </c>
    </row>
    <row r="17" spans="2:7" ht="28.5" customHeight="1" x14ac:dyDescent="0.2">
      <c r="B17" s="953" t="s">
        <v>588</v>
      </c>
      <c r="C17" s="954">
        <v>1800000</v>
      </c>
      <c r="D17" s="888"/>
      <c r="E17" s="889">
        <v>1800000</v>
      </c>
      <c r="F17" s="890">
        <f t="shared" si="0"/>
        <v>0</v>
      </c>
    </row>
    <row r="18" spans="2:7" ht="28.5" customHeight="1" x14ac:dyDescent="0.2">
      <c r="B18" s="1367" t="s">
        <v>589</v>
      </c>
      <c r="C18" s="1366">
        <f>SUM(C16:C17)</f>
        <v>16456371</v>
      </c>
      <c r="D18" s="1366">
        <f t="shared" ref="D18:E18" si="1">SUM(D16:D17)</f>
        <v>14656343</v>
      </c>
      <c r="E18" s="1366">
        <f t="shared" si="1"/>
        <v>1800000</v>
      </c>
      <c r="F18" s="890">
        <f t="shared" si="0"/>
        <v>28</v>
      </c>
    </row>
    <row r="19" spans="2:7" ht="28.5" customHeight="1" x14ac:dyDescent="0.2">
      <c r="B19" s="953" t="s">
        <v>590</v>
      </c>
      <c r="C19" s="954">
        <v>7800000</v>
      </c>
      <c r="D19" s="954">
        <v>7800000</v>
      </c>
      <c r="E19" s="889"/>
      <c r="F19" s="890"/>
    </row>
    <row r="20" spans="2:7" ht="28.5" customHeight="1" x14ac:dyDescent="0.2">
      <c r="B20" s="953" t="s">
        <v>593</v>
      </c>
      <c r="C20" s="954">
        <v>667600</v>
      </c>
      <c r="D20" s="954">
        <v>667600</v>
      </c>
      <c r="E20" s="889"/>
      <c r="F20" s="890"/>
    </row>
    <row r="21" spans="2:7" ht="28.5" customHeight="1" x14ac:dyDescent="0.2">
      <c r="B21" s="953" t="s">
        <v>594</v>
      </c>
      <c r="C21" s="954">
        <v>14999999</v>
      </c>
      <c r="D21" s="954">
        <v>14999999</v>
      </c>
      <c r="E21" s="889"/>
      <c r="F21" s="890"/>
    </row>
    <row r="22" spans="2:7" ht="39" customHeight="1" x14ac:dyDescent="0.2">
      <c r="B22" s="953" t="s">
        <v>592</v>
      </c>
      <c r="C22" s="954">
        <v>4368000</v>
      </c>
      <c r="D22" s="888"/>
      <c r="E22" s="889">
        <v>4368000</v>
      </c>
      <c r="F22" s="890"/>
    </row>
    <row r="23" spans="2:7" ht="14.25" customHeight="1" thickBot="1" x14ac:dyDescent="0.25">
      <c r="B23" s="1257" t="s">
        <v>591</v>
      </c>
      <c r="C23" s="1258">
        <v>237085</v>
      </c>
      <c r="D23" s="1258">
        <v>237085</v>
      </c>
      <c r="E23" s="1259"/>
      <c r="F23" s="1260">
        <f t="shared" ref="F23" si="2">C23-D23-E23</f>
        <v>0</v>
      </c>
    </row>
    <row r="24" spans="2:7" s="391" customFormat="1" ht="13.5" thickBot="1" x14ac:dyDescent="0.25">
      <c r="B24" s="955" t="s">
        <v>521</v>
      </c>
      <c r="C24" s="956">
        <f>C9+C10+C11+C12+C13+C14+C15+C18+C19+C20+C21+C22+C23</f>
        <v>138580504</v>
      </c>
      <c r="D24" s="956">
        <f>D9+D10+D11+D12+D13+D14+D15+D18+D19+D20+D21+D22+D23</f>
        <v>132412476</v>
      </c>
      <c r="E24" s="956">
        <f t="shared" ref="E24:F24" si="3">E9+E10+E11+E12+E13+E14+E15+E18+E19+E20+E21+E22+E23</f>
        <v>6168000</v>
      </c>
      <c r="F24" s="1368">
        <f t="shared" si="3"/>
        <v>28</v>
      </c>
      <c r="G24" s="407"/>
    </row>
    <row r="25" spans="2:7" ht="8.25" customHeight="1" x14ac:dyDescent="0.2"/>
    <row r="26" spans="2:7" ht="8.25" customHeight="1" x14ac:dyDescent="0.2"/>
    <row r="27" spans="2:7" ht="8.25" customHeight="1" x14ac:dyDescent="0.2"/>
    <row r="28" spans="2:7" ht="15" customHeight="1" x14ac:dyDescent="0.2">
      <c r="B28" s="1586" t="s">
        <v>597</v>
      </c>
      <c r="C28" s="1586"/>
      <c r="D28" s="1586"/>
      <c r="E28" s="1586"/>
    </row>
    <row r="29" spans="2:7" ht="15" customHeight="1" x14ac:dyDescent="0.2">
      <c r="B29" s="1587"/>
      <c r="C29" s="1587"/>
      <c r="D29" s="1587"/>
      <c r="E29" s="1587"/>
    </row>
    <row r="30" spans="2:7" ht="28.5" customHeight="1" thickBot="1" x14ac:dyDescent="0.25">
      <c r="E30" s="1249" t="s">
        <v>184</v>
      </c>
    </row>
    <row r="31" spans="2:7" ht="15" hidden="1" customHeight="1" thickBot="1" x14ac:dyDescent="0.25"/>
    <row r="32" spans="2:7" ht="93" customHeight="1" thickBot="1" x14ac:dyDescent="0.25">
      <c r="B32" s="886" t="s">
        <v>180</v>
      </c>
      <c r="C32" s="1250" t="s">
        <v>598</v>
      </c>
      <c r="D32" s="1250" t="s">
        <v>599</v>
      </c>
      <c r="E32" s="1250" t="s">
        <v>529</v>
      </c>
    </row>
    <row r="33" spans="2:8" ht="15" customHeight="1" x14ac:dyDescent="0.2">
      <c r="B33" s="1253" t="s">
        <v>528</v>
      </c>
      <c r="C33" s="1254">
        <v>862000</v>
      </c>
      <c r="D33" s="1254">
        <v>452253</v>
      </c>
      <c r="E33" s="1255">
        <f>C33-D33</f>
        <v>409747</v>
      </c>
    </row>
    <row r="34" spans="2:8" ht="27.75" customHeight="1" thickBot="1" x14ac:dyDescent="0.25">
      <c r="B34" s="1251" t="s">
        <v>530</v>
      </c>
      <c r="C34" s="1252">
        <f>SUM(C33:C33)</f>
        <v>862000</v>
      </c>
      <c r="D34" s="1252">
        <f>SUM(D33:D33)</f>
        <v>452253</v>
      </c>
      <c r="E34" s="1252">
        <f>SUM(E33:E33)</f>
        <v>409747</v>
      </c>
    </row>
    <row r="35" spans="2:8" ht="13.5" thickBot="1" x14ac:dyDescent="0.25">
      <c r="B35" s="955" t="s">
        <v>521</v>
      </c>
      <c r="C35" s="956">
        <f>C34</f>
        <v>862000</v>
      </c>
      <c r="D35" s="956">
        <f t="shared" ref="D35:E35" si="4">D34</f>
        <v>452253</v>
      </c>
      <c r="E35" s="956">
        <f t="shared" si="4"/>
        <v>409747</v>
      </c>
    </row>
    <row r="36" spans="2:8" x14ac:dyDescent="0.2">
      <c r="B36" s="1278"/>
      <c r="C36" s="1279"/>
      <c r="D36" s="1279"/>
      <c r="E36" s="1279"/>
    </row>
    <row r="37" spans="2:8" ht="38.25" customHeight="1" x14ac:dyDescent="0.25">
      <c r="B37" s="1584" t="s">
        <v>600</v>
      </c>
      <c r="C37" s="1584"/>
      <c r="D37" s="1584"/>
      <c r="E37" s="1584"/>
      <c r="F37" s="1584"/>
      <c r="G37" s="1584"/>
    </row>
    <row r="38" spans="2:8" ht="20.25" customHeight="1" x14ac:dyDescent="0.2">
      <c r="B38" s="1202"/>
      <c r="C38" s="1202"/>
      <c r="D38" s="1202"/>
      <c r="E38" s="1202"/>
      <c r="F38" s="1202"/>
      <c r="G38" s="1202"/>
    </row>
    <row r="39" spans="2:8" ht="13.5" thickBot="1" x14ac:dyDescent="0.25">
      <c r="F39" s="1263" t="s">
        <v>184</v>
      </c>
      <c r="G39" s="957"/>
    </row>
    <row r="40" spans="2:8" ht="51.75" thickBot="1" x14ac:dyDescent="0.25">
      <c r="B40" s="1264" t="s">
        <v>180</v>
      </c>
      <c r="C40" s="1261" t="s">
        <v>185</v>
      </c>
      <c r="D40" s="1261" t="s">
        <v>534</v>
      </c>
      <c r="E40" s="1261" t="s">
        <v>531</v>
      </c>
      <c r="F40" s="1261" t="s">
        <v>532</v>
      </c>
      <c r="G40" s="1262" t="s">
        <v>535</v>
      </c>
      <c r="H40" s="884"/>
    </row>
    <row r="41" spans="2:8" x14ac:dyDescent="0.2">
      <c r="B41" s="1272" t="s">
        <v>441</v>
      </c>
      <c r="C41" s="1275">
        <v>175365973</v>
      </c>
      <c r="D41" s="1275">
        <v>0</v>
      </c>
      <c r="E41" s="1276">
        <f>C41+D41</f>
        <v>175365973</v>
      </c>
      <c r="F41" s="1277">
        <v>175365973</v>
      </c>
      <c r="G41" s="1277">
        <f>E41-F41</f>
        <v>0</v>
      </c>
      <c r="H41" s="884"/>
    </row>
    <row r="42" spans="2:8" x14ac:dyDescent="0.2">
      <c r="B42" s="1273" t="s">
        <v>533</v>
      </c>
      <c r="C42" s="1265">
        <v>50000</v>
      </c>
      <c r="D42" s="1265">
        <v>-10000</v>
      </c>
      <c r="E42" s="1268">
        <f t="shared" ref="E42:E44" si="5">C42+D42</f>
        <v>40000</v>
      </c>
      <c r="F42" s="1270">
        <v>36000</v>
      </c>
      <c r="G42" s="1270">
        <f t="shared" ref="G42:G44" si="6">F42-E42</f>
        <v>-4000</v>
      </c>
      <c r="H42" s="884"/>
    </row>
    <row r="43" spans="2:8" ht="26.25" thickBot="1" x14ac:dyDescent="0.25">
      <c r="B43" s="1273" t="s">
        <v>317</v>
      </c>
      <c r="C43" s="1265">
        <v>3100000</v>
      </c>
      <c r="D43" s="1266"/>
      <c r="E43" s="1268">
        <f t="shared" si="5"/>
        <v>3100000</v>
      </c>
      <c r="F43" s="1270">
        <v>3100000</v>
      </c>
      <c r="G43" s="1270">
        <f t="shared" si="6"/>
        <v>0</v>
      </c>
      <c r="H43" s="884"/>
    </row>
    <row r="44" spans="2:8" ht="13.5" thickBot="1" x14ac:dyDescent="0.25">
      <c r="B44" s="1274" t="s">
        <v>536</v>
      </c>
      <c r="C44" s="1266">
        <v>10118070</v>
      </c>
      <c r="D44" s="1267">
        <v>-710790</v>
      </c>
      <c r="E44" s="1269">
        <f t="shared" si="5"/>
        <v>9407280</v>
      </c>
      <c r="F44" s="1271">
        <v>9265552</v>
      </c>
      <c r="G44" s="1271">
        <f t="shared" si="6"/>
        <v>-141728</v>
      </c>
      <c r="H44" s="884"/>
    </row>
    <row r="45" spans="2:8" s="396" customFormat="1" ht="13.5" thickBot="1" x14ac:dyDescent="0.25">
      <c r="B45" s="893" t="s">
        <v>186</v>
      </c>
      <c r="C45" s="894">
        <f>SUM(C41:C44)</f>
        <v>188634043</v>
      </c>
      <c r="D45" s="894">
        <f t="shared" ref="D45:G45" si="7">SUM(D41:D44)</f>
        <v>-720790</v>
      </c>
      <c r="E45" s="894">
        <f t="shared" si="7"/>
        <v>187913253</v>
      </c>
      <c r="F45" s="894">
        <f t="shared" si="7"/>
        <v>187767525</v>
      </c>
      <c r="G45" s="894">
        <f t="shared" si="7"/>
        <v>-145728</v>
      </c>
    </row>
    <row r="46" spans="2:8" ht="11.25" customHeight="1" x14ac:dyDescent="0.2">
      <c r="B46" s="395"/>
    </row>
    <row r="47" spans="2:8" x14ac:dyDescent="0.2">
      <c r="B47" s="895"/>
      <c r="C47" s="408"/>
      <c r="D47" s="408"/>
      <c r="E47" s="408"/>
      <c r="F47" s="408"/>
      <c r="G47" s="408"/>
    </row>
    <row r="48" spans="2:8" x14ac:dyDescent="0.2">
      <c r="B48" s="896"/>
      <c r="C48" s="409"/>
      <c r="D48" s="409"/>
      <c r="E48" s="409"/>
      <c r="F48" s="409"/>
      <c r="G48" s="408"/>
    </row>
    <row r="49" spans="2:6" x14ac:dyDescent="0.2">
      <c r="B49" s="1580"/>
      <c r="C49" s="1580"/>
      <c r="D49" s="1580"/>
      <c r="E49" s="1580"/>
      <c r="F49" s="1580"/>
    </row>
    <row r="51" spans="2:6" x14ac:dyDescent="0.2">
      <c r="B51" s="897"/>
    </row>
  </sheetData>
  <mergeCells count="7">
    <mergeCell ref="B49:F49"/>
    <mergeCell ref="B1:E1"/>
    <mergeCell ref="B3:F3"/>
    <mergeCell ref="B5:F5"/>
    <mergeCell ref="B37:G37"/>
    <mergeCell ref="B2:F2"/>
    <mergeCell ref="B28:E29"/>
  </mergeCells>
  <pageMargins left="0.75" right="0.75" top="1" bottom="1" header="0.5" footer="0.5"/>
  <pageSetup paperSize="9" scale="55" orientation="portrait" r:id="rId1"/>
  <headerFooter alignWithMargins="0">
    <oddHeader>&amp;R9.sz. melléklet
......./2019.(V.30.) Egyek Önk.r.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"/>
  <sheetViews>
    <sheetView view="pageBreakPreview" topLeftCell="A8" zoomScale="140" zoomScaleNormal="82" zoomScaleSheetLayoutView="140" workbookViewId="0">
      <selection activeCell="B30" sqref="B30"/>
    </sheetView>
  </sheetViews>
  <sheetFormatPr defaultColWidth="9.140625" defaultRowHeight="12.75" x14ac:dyDescent="0.2"/>
  <cols>
    <col min="1" max="1" width="2.28515625" style="375" customWidth="1"/>
    <col min="2" max="2" width="62.42578125" style="375" customWidth="1"/>
    <col min="3" max="3" width="19.42578125" style="375" hidden="1" customWidth="1"/>
    <col min="4" max="4" width="14.28515625" style="375" customWidth="1"/>
    <col min="5" max="5" width="18.42578125" style="1082" customWidth="1"/>
    <col min="6" max="6" width="14.5703125" style="1083" customWidth="1"/>
    <col min="7" max="7" width="18.28515625" style="1083" customWidth="1"/>
    <col min="8" max="8" width="18.140625" style="375" customWidth="1"/>
    <col min="9" max="16384" width="9.140625" style="375"/>
  </cols>
  <sheetData>
    <row r="1" spans="2:8" ht="15" x14ac:dyDescent="0.25">
      <c r="B1" s="436" t="s">
        <v>228</v>
      </c>
    </row>
    <row r="2" spans="2:8" x14ac:dyDescent="0.2">
      <c r="B2" s="437"/>
    </row>
    <row r="3" spans="2:8" ht="15.75" x14ac:dyDescent="0.25">
      <c r="B3" s="1346"/>
      <c r="C3" s="1346"/>
      <c r="D3" s="1346"/>
      <c r="E3" s="1346"/>
      <c r="F3" s="1346"/>
      <c r="G3" s="1346"/>
    </row>
    <row r="4" spans="2:8" ht="15.75" x14ac:dyDescent="0.25">
      <c r="B4" s="1346"/>
      <c r="C4" s="1346"/>
      <c r="D4" s="1346"/>
      <c r="E4" s="1346"/>
      <c r="F4" s="1346"/>
      <c r="G4" s="1346"/>
    </row>
    <row r="5" spans="2:8" ht="15.75" x14ac:dyDescent="0.25">
      <c r="B5" s="1591" t="s">
        <v>538</v>
      </c>
      <c r="C5" s="1591"/>
      <c r="D5" s="1591"/>
      <c r="E5" s="1591"/>
      <c r="F5" s="1591"/>
      <c r="G5" s="1591"/>
      <c r="H5" s="1591"/>
    </row>
    <row r="6" spans="2:8" ht="15.75" x14ac:dyDescent="0.25">
      <c r="B6" s="1345"/>
      <c r="C6" s="1345"/>
      <c r="D6" s="1345"/>
      <c r="E6" s="1345"/>
      <c r="F6" s="1345"/>
      <c r="G6" s="1345"/>
    </row>
    <row r="7" spans="2:8" ht="15.75" x14ac:dyDescent="0.25">
      <c r="B7" s="1592" t="s">
        <v>229</v>
      </c>
      <c r="C7" s="1592"/>
      <c r="D7" s="1592"/>
      <c r="E7" s="1592"/>
      <c r="F7" s="1592"/>
      <c r="G7" s="1592"/>
      <c r="H7" s="1592"/>
    </row>
    <row r="8" spans="2:8" ht="15.75" x14ac:dyDescent="0.25">
      <c r="B8" s="1346"/>
      <c r="C8" s="1346"/>
      <c r="D8" s="1346"/>
      <c r="E8" s="1346"/>
      <c r="F8" s="1346"/>
      <c r="G8" s="1346"/>
    </row>
    <row r="9" spans="2:8" ht="15.75" x14ac:dyDescent="0.25">
      <c r="B9" s="1591" t="s">
        <v>230</v>
      </c>
      <c r="C9" s="1591"/>
      <c r="D9" s="1591"/>
      <c r="E9" s="1591"/>
      <c r="F9" s="1591"/>
      <c r="G9" s="1591"/>
      <c r="H9" s="1591"/>
    </row>
    <row r="10" spans="2:8" ht="15.75" x14ac:dyDescent="0.25">
      <c r="B10" s="1591" t="s">
        <v>453</v>
      </c>
      <c r="C10" s="1591"/>
      <c r="D10" s="1591"/>
      <c r="E10" s="1591"/>
      <c r="F10" s="1591"/>
      <c r="G10" s="1591"/>
      <c r="H10" s="1591"/>
    </row>
    <row r="11" spans="2:8" ht="15.75" x14ac:dyDescent="0.25">
      <c r="B11" s="1345"/>
      <c r="C11" s="1345"/>
      <c r="D11" s="1345"/>
      <c r="E11" s="1345"/>
      <c r="F11" s="1345"/>
      <c r="G11" s="1345"/>
    </row>
    <row r="12" spans="2:8" ht="16.5" thickBot="1" x14ac:dyDescent="0.3">
      <c r="B12" s="1084"/>
      <c r="C12" s="1084"/>
      <c r="D12" s="1084"/>
      <c r="E12" s="1084"/>
      <c r="G12" s="1084"/>
      <c r="H12" s="1285" t="s">
        <v>184</v>
      </c>
    </row>
    <row r="13" spans="2:8" ht="19.5" thickBot="1" x14ac:dyDescent="0.35">
      <c r="B13" s="1381"/>
      <c r="C13" s="1382"/>
      <c r="D13" s="1383"/>
      <c r="E13" s="1593" t="s">
        <v>504</v>
      </c>
      <c r="F13" s="1594"/>
      <c r="G13" s="1593" t="s">
        <v>608</v>
      </c>
      <c r="H13" s="1594"/>
    </row>
    <row r="14" spans="2:8" ht="27.75" customHeight="1" thickBot="1" x14ac:dyDescent="0.25">
      <c r="B14" s="1384" t="s">
        <v>231</v>
      </c>
      <c r="C14" s="1385" t="s">
        <v>188</v>
      </c>
      <c r="D14" s="1386" t="s">
        <v>188</v>
      </c>
      <c r="E14" s="1290" t="s">
        <v>232</v>
      </c>
      <c r="F14" s="1387" t="s">
        <v>233</v>
      </c>
      <c r="G14" s="1387" t="s">
        <v>232</v>
      </c>
      <c r="H14" s="1387" t="s">
        <v>233</v>
      </c>
    </row>
    <row r="15" spans="2:8" ht="13.5" customHeight="1" thickBot="1" x14ac:dyDescent="0.25">
      <c r="B15" s="1206"/>
      <c r="C15" s="1208"/>
      <c r="D15" s="1210"/>
      <c r="E15" s="1289"/>
      <c r="F15" s="1388"/>
      <c r="G15" s="1388"/>
      <c r="H15" s="1388"/>
    </row>
    <row r="16" spans="2:8" ht="12.75" customHeight="1" thickBot="1" x14ac:dyDescent="0.25">
      <c r="B16" s="1207"/>
      <c r="C16" s="1209"/>
      <c r="D16" s="1211"/>
      <c r="E16" s="1589" t="s">
        <v>234</v>
      </c>
      <c r="F16" s="1590"/>
      <c r="G16" s="1589" t="s">
        <v>234</v>
      </c>
      <c r="H16" s="1590"/>
    </row>
    <row r="17" spans="2:8" ht="13.5" thickBot="1" x14ac:dyDescent="0.25">
      <c r="B17" s="898">
        <v>1</v>
      </c>
      <c r="C17" s="1389" t="s">
        <v>259</v>
      </c>
      <c r="D17" s="899">
        <v>2</v>
      </c>
      <c r="E17" s="899">
        <v>3</v>
      </c>
      <c r="F17" s="899">
        <v>4</v>
      </c>
      <c r="G17" s="899">
        <v>3</v>
      </c>
      <c r="H17" s="899">
        <v>4</v>
      </c>
    </row>
    <row r="18" spans="2:8" s="1391" customFormat="1" x14ac:dyDescent="0.2">
      <c r="B18" s="556" t="s">
        <v>318</v>
      </c>
      <c r="C18" s="1390" t="s">
        <v>235</v>
      </c>
      <c r="D18" s="728" t="s">
        <v>0</v>
      </c>
      <c r="E18" s="900">
        <v>35594309</v>
      </c>
      <c r="F18" s="901">
        <f>2322350+129478</f>
        <v>2451828</v>
      </c>
      <c r="G18" s="900">
        <v>36313382</v>
      </c>
      <c r="H18" s="901">
        <v>2254507</v>
      </c>
    </row>
    <row r="19" spans="2:8" s="1391" customFormat="1" x14ac:dyDescent="0.2">
      <c r="B19" s="557" t="s">
        <v>319</v>
      </c>
      <c r="C19" s="1392" t="s">
        <v>236</v>
      </c>
      <c r="D19" s="728" t="s">
        <v>4</v>
      </c>
      <c r="E19" s="902">
        <f t="shared" ref="E19:H19" si="0">E20+E25+E35</f>
        <v>3426873486</v>
      </c>
      <c r="F19" s="903">
        <f t="shared" si="0"/>
        <v>2715657463</v>
      </c>
      <c r="G19" s="902">
        <f t="shared" si="0"/>
        <v>3549371303</v>
      </c>
      <c r="H19" s="903">
        <f t="shared" si="0"/>
        <v>2747018711</v>
      </c>
    </row>
    <row r="20" spans="2:8" s="1391" customFormat="1" x14ac:dyDescent="0.2">
      <c r="B20" s="557" t="s">
        <v>320</v>
      </c>
      <c r="C20" s="1392" t="s">
        <v>237</v>
      </c>
      <c r="D20" s="728" t="s">
        <v>8</v>
      </c>
      <c r="E20" s="902">
        <f t="shared" ref="E20:H20" si="1">E21+E22+E23+E24</f>
        <v>2840076342</v>
      </c>
      <c r="F20" s="903">
        <f t="shared" si="1"/>
        <v>2449034926</v>
      </c>
      <c r="G20" s="902">
        <f t="shared" si="1"/>
        <v>2935751111</v>
      </c>
      <c r="H20" s="903">
        <f t="shared" si="1"/>
        <v>2487178289</v>
      </c>
    </row>
    <row r="21" spans="2:8" x14ac:dyDescent="0.2">
      <c r="B21" s="558" t="s">
        <v>321</v>
      </c>
      <c r="C21" s="1393" t="s">
        <v>238</v>
      </c>
      <c r="D21" s="559" t="s">
        <v>2</v>
      </c>
      <c r="E21" s="1283">
        <v>437596892</v>
      </c>
      <c r="F21" s="1284">
        <v>334325944</v>
      </c>
      <c r="G21" s="1283">
        <v>482379044</v>
      </c>
      <c r="H21" s="1284">
        <v>368703228</v>
      </c>
    </row>
    <row r="22" spans="2:8" ht="22.5" x14ac:dyDescent="0.2">
      <c r="B22" s="558" t="s">
        <v>322</v>
      </c>
      <c r="C22" s="1393" t="s">
        <v>239</v>
      </c>
      <c r="D22" s="559" t="s">
        <v>5</v>
      </c>
      <c r="E22" s="904"/>
      <c r="F22" s="905"/>
      <c r="G22" s="904"/>
      <c r="H22" s="905"/>
    </row>
    <row r="23" spans="2:8" x14ac:dyDescent="0.2">
      <c r="B23" s="558" t="s">
        <v>323</v>
      </c>
      <c r="C23" s="1393" t="s">
        <v>240</v>
      </c>
      <c r="D23" s="559" t="s">
        <v>9</v>
      </c>
      <c r="E23" s="904">
        <v>2005468104</v>
      </c>
      <c r="F23" s="905">
        <v>1761915827</v>
      </c>
      <c r="G23" s="904">
        <v>2018099502</v>
      </c>
      <c r="H23" s="905">
        <v>1733855659</v>
      </c>
    </row>
    <row r="24" spans="2:8" x14ac:dyDescent="0.2">
      <c r="B24" s="558" t="s">
        <v>324</v>
      </c>
      <c r="C24" s="1393" t="s">
        <v>241</v>
      </c>
      <c r="D24" s="559" t="s">
        <v>3</v>
      </c>
      <c r="E24" s="904">
        <v>397011346</v>
      </c>
      <c r="F24" s="905">
        <v>352793155</v>
      </c>
      <c r="G24" s="904">
        <v>435272565</v>
      </c>
      <c r="H24" s="905">
        <v>384619402</v>
      </c>
    </row>
    <row r="25" spans="2:8" s="1391" customFormat="1" x14ac:dyDescent="0.2">
      <c r="B25" s="557" t="s">
        <v>325</v>
      </c>
      <c r="C25" s="1392" t="s">
        <v>242</v>
      </c>
      <c r="D25" s="728" t="s">
        <v>10</v>
      </c>
      <c r="E25" s="906">
        <f t="shared" ref="E25:H25" si="2">E26+E27+E28+E29</f>
        <v>442314475</v>
      </c>
      <c r="F25" s="907">
        <f t="shared" si="2"/>
        <v>122139768</v>
      </c>
      <c r="G25" s="906">
        <f t="shared" si="2"/>
        <v>453832437</v>
      </c>
      <c r="H25" s="907">
        <f t="shared" si="2"/>
        <v>100052667</v>
      </c>
    </row>
    <row r="26" spans="2:8" x14ac:dyDescent="0.2">
      <c r="B26" s="558" t="s">
        <v>326</v>
      </c>
      <c r="C26" s="1393" t="s">
        <v>260</v>
      </c>
      <c r="D26" s="559" t="s">
        <v>6</v>
      </c>
      <c r="E26" s="904"/>
      <c r="F26" s="905"/>
      <c r="G26" s="904"/>
      <c r="H26" s="905"/>
    </row>
    <row r="27" spans="2:8" ht="22.5" x14ac:dyDescent="0.2">
      <c r="B27" s="558" t="s">
        <v>327</v>
      </c>
      <c r="C27" s="1393" t="s">
        <v>1</v>
      </c>
      <c r="D27" s="559" t="s">
        <v>1</v>
      </c>
      <c r="E27" s="904"/>
      <c r="F27" s="905"/>
      <c r="G27" s="904"/>
      <c r="H27" s="905"/>
    </row>
    <row r="28" spans="2:8" x14ac:dyDescent="0.2">
      <c r="B28" s="558" t="s">
        <v>328</v>
      </c>
      <c r="C28" s="1393" t="s">
        <v>7</v>
      </c>
      <c r="D28" s="559" t="s">
        <v>7</v>
      </c>
      <c r="E28" s="904">
        <v>82219317</v>
      </c>
      <c r="F28" s="905">
        <v>27389814</v>
      </c>
      <c r="G28" s="904">
        <v>82173667</v>
      </c>
      <c r="H28" s="905">
        <v>22951866</v>
      </c>
    </row>
    <row r="29" spans="2:8" x14ac:dyDescent="0.2">
      <c r="B29" s="558" t="s">
        <v>329</v>
      </c>
      <c r="C29" s="1393" t="s">
        <v>15</v>
      </c>
      <c r="D29" s="559" t="s">
        <v>15</v>
      </c>
      <c r="E29" s="904">
        <v>360095158</v>
      </c>
      <c r="F29" s="905">
        <v>94749954</v>
      </c>
      <c r="G29" s="904">
        <v>371658770</v>
      </c>
      <c r="H29" s="905">
        <v>77100801</v>
      </c>
    </row>
    <row r="30" spans="2:8" s="1391" customFormat="1" x14ac:dyDescent="0.2">
      <c r="B30" s="557" t="s">
        <v>330</v>
      </c>
      <c r="C30" s="1392" t="s">
        <v>13</v>
      </c>
      <c r="D30" s="728" t="s">
        <v>13</v>
      </c>
      <c r="E30" s="906">
        <f t="shared" ref="E30:H30" si="3">+E31+E32+E33+E34</f>
        <v>0</v>
      </c>
      <c r="F30" s="907">
        <f t="shared" si="3"/>
        <v>0</v>
      </c>
      <c r="G30" s="906">
        <f t="shared" si="3"/>
        <v>0</v>
      </c>
      <c r="H30" s="907">
        <f t="shared" si="3"/>
        <v>0</v>
      </c>
    </row>
    <row r="31" spans="2:8" x14ac:dyDescent="0.2">
      <c r="B31" s="558" t="s">
        <v>331</v>
      </c>
      <c r="C31" s="1393" t="s">
        <v>25</v>
      </c>
      <c r="D31" s="559" t="s">
        <v>25</v>
      </c>
      <c r="E31" s="904"/>
      <c r="F31" s="905"/>
      <c r="G31" s="904"/>
      <c r="H31" s="905"/>
    </row>
    <row r="32" spans="2:8" x14ac:dyDescent="0.2">
      <c r="B32" s="558" t="s">
        <v>332</v>
      </c>
      <c r="C32" s="1393" t="s">
        <v>28</v>
      </c>
      <c r="D32" s="559" t="s">
        <v>28</v>
      </c>
      <c r="E32" s="904"/>
      <c r="F32" s="905"/>
      <c r="G32" s="904"/>
      <c r="H32" s="905"/>
    </row>
    <row r="33" spans="2:8" x14ac:dyDescent="0.2">
      <c r="B33" s="558" t="s">
        <v>333</v>
      </c>
      <c r="C33" s="1393" t="s">
        <v>26</v>
      </c>
      <c r="D33" s="559" t="s">
        <v>26</v>
      </c>
      <c r="E33" s="904"/>
      <c r="F33" s="905"/>
      <c r="G33" s="904"/>
      <c r="H33" s="905"/>
    </row>
    <row r="34" spans="2:8" x14ac:dyDescent="0.2">
      <c r="B34" s="729" t="s">
        <v>334</v>
      </c>
      <c r="C34" s="1392" t="s">
        <v>27</v>
      </c>
      <c r="D34" s="728" t="s">
        <v>27</v>
      </c>
      <c r="E34" s="910"/>
      <c r="F34" s="911"/>
      <c r="G34" s="910"/>
      <c r="H34" s="911"/>
    </row>
    <row r="35" spans="2:8" s="1391" customFormat="1" x14ac:dyDescent="0.2">
      <c r="B35" s="557" t="s">
        <v>335</v>
      </c>
      <c r="C35" s="1392" t="s">
        <v>29</v>
      </c>
      <c r="D35" s="728" t="s">
        <v>29</v>
      </c>
      <c r="E35" s="906">
        <f t="shared" ref="E35:H35" si="4">E36+E37+E38+E39</f>
        <v>144482669</v>
      </c>
      <c r="F35" s="907">
        <f t="shared" si="4"/>
        <v>144482769</v>
      </c>
      <c r="G35" s="906">
        <f t="shared" si="4"/>
        <v>159787755</v>
      </c>
      <c r="H35" s="907">
        <f t="shared" si="4"/>
        <v>159787755</v>
      </c>
    </row>
    <row r="36" spans="2:8" x14ac:dyDescent="0.2">
      <c r="B36" s="558" t="s">
        <v>336</v>
      </c>
      <c r="C36" s="1393" t="s">
        <v>30</v>
      </c>
      <c r="D36" s="559" t="s">
        <v>30</v>
      </c>
      <c r="E36" s="904">
        <v>40949965</v>
      </c>
      <c r="F36" s="905">
        <v>40949965</v>
      </c>
      <c r="G36" s="904">
        <v>47555636</v>
      </c>
      <c r="H36" s="905">
        <v>47555636</v>
      </c>
    </row>
    <row r="37" spans="2:8" x14ac:dyDescent="0.2">
      <c r="B37" s="558" t="s">
        <v>337</v>
      </c>
      <c r="C37" s="1393" t="s">
        <v>31</v>
      </c>
      <c r="D37" s="559" t="s">
        <v>31</v>
      </c>
      <c r="E37" s="904"/>
      <c r="F37" s="905"/>
      <c r="G37" s="904"/>
      <c r="H37" s="905"/>
    </row>
    <row r="38" spans="2:8" x14ac:dyDescent="0.2">
      <c r="B38" s="558" t="s">
        <v>338</v>
      </c>
      <c r="C38" s="1393" t="s">
        <v>12</v>
      </c>
      <c r="D38" s="559" t="s">
        <v>12</v>
      </c>
      <c r="E38" s="904">
        <v>48079814</v>
      </c>
      <c r="F38" s="905">
        <v>48079914</v>
      </c>
      <c r="G38" s="904">
        <v>48984247</v>
      </c>
      <c r="H38" s="905">
        <v>48984247</v>
      </c>
    </row>
    <row r="39" spans="2:8" x14ac:dyDescent="0.2">
      <c r="B39" s="558" t="s">
        <v>339</v>
      </c>
      <c r="C39" s="1393" t="s">
        <v>32</v>
      </c>
      <c r="D39" s="559" t="s">
        <v>32</v>
      </c>
      <c r="E39" s="904">
        <v>55452890</v>
      </c>
      <c r="F39" s="905">
        <v>55452890</v>
      </c>
      <c r="G39" s="904">
        <v>63247872</v>
      </c>
      <c r="H39" s="905">
        <v>63247872</v>
      </c>
    </row>
    <row r="40" spans="2:8" s="1391" customFormat="1" x14ac:dyDescent="0.2">
      <c r="B40" s="557" t="s">
        <v>340</v>
      </c>
      <c r="C40" s="1392" t="s">
        <v>33</v>
      </c>
      <c r="D40" s="728" t="s">
        <v>33</v>
      </c>
      <c r="E40" s="906">
        <f t="shared" ref="E40:H40" si="5">+E41+E42+E43+E44</f>
        <v>0</v>
      </c>
      <c r="F40" s="907">
        <f t="shared" si="5"/>
        <v>0</v>
      </c>
      <c r="G40" s="906">
        <f t="shared" si="5"/>
        <v>0</v>
      </c>
      <c r="H40" s="907">
        <f t="shared" si="5"/>
        <v>0</v>
      </c>
    </row>
    <row r="41" spans="2:8" x14ac:dyDescent="0.2">
      <c r="B41" s="558" t="s">
        <v>341</v>
      </c>
      <c r="C41" s="1393" t="s">
        <v>34</v>
      </c>
      <c r="D41" s="559" t="s">
        <v>34</v>
      </c>
      <c r="E41" s="904"/>
      <c r="F41" s="905"/>
      <c r="G41" s="904"/>
      <c r="H41" s="905"/>
    </row>
    <row r="42" spans="2:8" ht="22.5" x14ac:dyDescent="0.2">
      <c r="B42" s="558" t="s">
        <v>342</v>
      </c>
      <c r="C42" s="1393" t="s">
        <v>36</v>
      </c>
      <c r="D42" s="559" t="s">
        <v>36</v>
      </c>
      <c r="E42" s="904"/>
      <c r="F42" s="905"/>
      <c r="G42" s="904"/>
      <c r="H42" s="905"/>
    </row>
    <row r="43" spans="2:8" x14ac:dyDescent="0.2">
      <c r="B43" s="558" t="s">
        <v>343</v>
      </c>
      <c r="C43" s="1393" t="s">
        <v>37</v>
      </c>
      <c r="D43" s="559" t="s">
        <v>37</v>
      </c>
      <c r="E43" s="904"/>
      <c r="F43" s="905"/>
      <c r="G43" s="904"/>
      <c r="H43" s="905"/>
    </row>
    <row r="44" spans="2:8" x14ac:dyDescent="0.2">
      <c r="B44" s="558" t="s">
        <v>344</v>
      </c>
      <c r="C44" s="1393" t="s">
        <v>38</v>
      </c>
      <c r="D44" s="559" t="s">
        <v>38</v>
      </c>
      <c r="E44" s="904"/>
      <c r="F44" s="905"/>
      <c r="G44" s="904"/>
      <c r="H44" s="905"/>
    </row>
    <row r="45" spans="2:8" s="1391" customFormat="1" x14ac:dyDescent="0.2">
      <c r="B45" s="557" t="s">
        <v>345</v>
      </c>
      <c r="C45" s="1392" t="s">
        <v>160</v>
      </c>
      <c r="D45" s="728" t="s">
        <v>160</v>
      </c>
      <c r="E45" s="906">
        <f t="shared" ref="E45:H45" si="6">E46+E51+E56</f>
        <v>251056200</v>
      </c>
      <c r="F45" s="906">
        <f t="shared" si="6"/>
        <v>59082020</v>
      </c>
      <c r="G45" s="906">
        <f t="shared" si="6"/>
        <v>251056200</v>
      </c>
      <c r="H45" s="907">
        <f t="shared" si="6"/>
        <v>59069765</v>
      </c>
    </row>
    <row r="46" spans="2:8" s="1391" customFormat="1" x14ac:dyDescent="0.2">
      <c r="B46" s="557" t="s">
        <v>346</v>
      </c>
      <c r="C46" s="1392" t="s">
        <v>161</v>
      </c>
      <c r="D46" s="728" t="s">
        <v>161</v>
      </c>
      <c r="E46" s="906">
        <f t="shared" ref="E46:H46" si="7">E47+E48+E49+E50</f>
        <v>251056200</v>
      </c>
      <c r="F46" s="907">
        <f t="shared" si="7"/>
        <v>59082020</v>
      </c>
      <c r="G46" s="906">
        <f t="shared" si="7"/>
        <v>251056200</v>
      </c>
      <c r="H46" s="907">
        <f t="shared" si="7"/>
        <v>59069765</v>
      </c>
    </row>
    <row r="47" spans="2:8" ht="13.5" customHeight="1" x14ac:dyDescent="0.2">
      <c r="B47" s="558" t="s">
        <v>347</v>
      </c>
      <c r="C47" s="1393" t="s">
        <v>162</v>
      </c>
      <c r="D47" s="559" t="s">
        <v>162</v>
      </c>
      <c r="E47" s="904"/>
      <c r="F47" s="905"/>
      <c r="G47" s="904"/>
      <c r="H47" s="905"/>
    </row>
    <row r="48" spans="2:8" ht="13.5" customHeight="1" x14ac:dyDescent="0.2">
      <c r="B48" s="558" t="s">
        <v>348</v>
      </c>
      <c r="C48" s="1393" t="s">
        <v>168</v>
      </c>
      <c r="D48" s="559" t="s">
        <v>168</v>
      </c>
      <c r="E48" s="904">
        <v>7200</v>
      </c>
      <c r="F48" s="905">
        <v>7200</v>
      </c>
      <c r="G48" s="904">
        <v>7200</v>
      </c>
      <c r="H48" s="905">
        <v>7200</v>
      </c>
    </row>
    <row r="49" spans="1:8" x14ac:dyDescent="0.2">
      <c r="B49" s="558" t="s">
        <v>349</v>
      </c>
      <c r="C49" s="1393" t="s">
        <v>169</v>
      </c>
      <c r="D49" s="559" t="s">
        <v>169</v>
      </c>
      <c r="E49" s="904"/>
      <c r="F49" s="905"/>
      <c r="G49" s="904"/>
      <c r="H49" s="905"/>
    </row>
    <row r="50" spans="1:8" x14ac:dyDescent="0.2">
      <c r="B50" s="558" t="s">
        <v>350</v>
      </c>
      <c r="C50" s="1393" t="s">
        <v>170</v>
      </c>
      <c r="D50" s="559" t="s">
        <v>170</v>
      </c>
      <c r="E50" s="904">
        <v>251049000</v>
      </c>
      <c r="F50" s="905">
        <v>59074820</v>
      </c>
      <c r="G50" s="904">
        <v>251049000</v>
      </c>
      <c r="H50" s="905">
        <v>59062565</v>
      </c>
    </row>
    <row r="51" spans="1:8" s="1391" customFormat="1" x14ac:dyDescent="0.2">
      <c r="B51" s="557" t="s">
        <v>351</v>
      </c>
      <c r="C51" s="1392" t="s">
        <v>171</v>
      </c>
      <c r="D51" s="728" t="s">
        <v>171</v>
      </c>
      <c r="E51" s="906">
        <f t="shared" ref="E51:H51" si="8">+E52+E53+E54+E55</f>
        <v>0</v>
      </c>
      <c r="F51" s="907">
        <f t="shared" si="8"/>
        <v>0</v>
      </c>
      <c r="G51" s="906">
        <f t="shared" si="8"/>
        <v>0</v>
      </c>
      <c r="H51" s="907">
        <f t="shared" si="8"/>
        <v>0</v>
      </c>
    </row>
    <row r="52" spans="1:8" ht="14.25" customHeight="1" x14ac:dyDescent="0.2">
      <c r="B52" s="558" t="s">
        <v>352</v>
      </c>
      <c r="C52" s="1393" t="s">
        <v>172</v>
      </c>
      <c r="D52" s="559" t="s">
        <v>172</v>
      </c>
      <c r="E52" s="904"/>
      <c r="F52" s="905"/>
      <c r="G52" s="904"/>
      <c r="H52" s="905"/>
    </row>
    <row r="53" spans="1:8" ht="22.5" x14ac:dyDescent="0.2">
      <c r="B53" s="558" t="s">
        <v>353</v>
      </c>
      <c r="C53" s="1393" t="s">
        <v>173</v>
      </c>
      <c r="D53" s="559" t="s">
        <v>173</v>
      </c>
      <c r="E53" s="904"/>
      <c r="F53" s="905"/>
      <c r="G53" s="904"/>
      <c r="H53" s="905"/>
    </row>
    <row r="54" spans="1:8" ht="14.25" customHeight="1" x14ac:dyDescent="0.2">
      <c r="B54" s="558" t="s">
        <v>354</v>
      </c>
      <c r="C54" s="1393" t="s">
        <v>174</v>
      </c>
      <c r="D54" s="559" t="s">
        <v>174</v>
      </c>
      <c r="E54" s="904"/>
      <c r="F54" s="905"/>
      <c r="G54" s="904"/>
      <c r="H54" s="905"/>
    </row>
    <row r="55" spans="1:8" s="395" customFormat="1" x14ac:dyDescent="0.2">
      <c r="B55" s="558" t="s">
        <v>355</v>
      </c>
      <c r="C55" s="1393" t="s">
        <v>175</v>
      </c>
      <c r="D55" s="559" t="s">
        <v>175</v>
      </c>
      <c r="E55" s="904"/>
      <c r="F55" s="905"/>
      <c r="G55" s="904"/>
      <c r="H55" s="905"/>
    </row>
    <row r="56" spans="1:8" s="395" customFormat="1" x14ac:dyDescent="0.2">
      <c r="B56" s="557" t="s">
        <v>356</v>
      </c>
      <c r="C56" s="1393" t="s">
        <v>176</v>
      </c>
      <c r="D56" s="1288" t="s">
        <v>176</v>
      </c>
      <c r="E56" s="908">
        <f t="shared" ref="E56:H56" si="9">+E57+E58+E59+E60</f>
        <v>0</v>
      </c>
      <c r="F56" s="909">
        <f t="shared" si="9"/>
        <v>0</v>
      </c>
      <c r="G56" s="908">
        <f t="shared" si="9"/>
        <v>0</v>
      </c>
      <c r="H56" s="909">
        <f t="shared" si="9"/>
        <v>0</v>
      </c>
    </row>
    <row r="57" spans="1:8" s="1083" customFormat="1" x14ac:dyDescent="0.2">
      <c r="A57" s="395"/>
      <c r="B57" s="558" t="s">
        <v>357</v>
      </c>
      <c r="C57" s="1393" t="s">
        <v>358</v>
      </c>
      <c r="D57" s="559" t="s">
        <v>358</v>
      </c>
      <c r="E57" s="904"/>
      <c r="F57" s="905"/>
      <c r="G57" s="904"/>
      <c r="H57" s="905"/>
    </row>
    <row r="58" spans="1:8" s="1083" customFormat="1" ht="22.5" x14ac:dyDescent="0.2">
      <c r="A58" s="395"/>
      <c r="B58" s="558" t="s">
        <v>359</v>
      </c>
      <c r="C58" s="1393" t="s">
        <v>360</v>
      </c>
      <c r="D58" s="559" t="s">
        <v>360</v>
      </c>
      <c r="E58" s="904"/>
      <c r="F58" s="905"/>
      <c r="G58" s="904"/>
      <c r="H58" s="905"/>
    </row>
    <row r="59" spans="1:8" s="1083" customFormat="1" x14ac:dyDescent="0.2">
      <c r="A59" s="395"/>
      <c r="B59" s="558" t="s">
        <v>361</v>
      </c>
      <c r="C59" s="1393" t="s">
        <v>362</v>
      </c>
      <c r="D59" s="559" t="s">
        <v>362</v>
      </c>
      <c r="E59" s="904"/>
      <c r="F59" s="905"/>
      <c r="G59" s="904"/>
      <c r="H59" s="905"/>
    </row>
    <row r="60" spans="1:8" s="1083" customFormat="1" x14ac:dyDescent="0.2">
      <c r="A60" s="395"/>
      <c r="B60" s="558" t="s">
        <v>363</v>
      </c>
      <c r="C60" s="1393" t="s">
        <v>364</v>
      </c>
      <c r="D60" s="559" t="s">
        <v>364</v>
      </c>
      <c r="E60" s="904"/>
      <c r="F60" s="905"/>
      <c r="G60" s="904"/>
      <c r="H60" s="905"/>
    </row>
    <row r="61" spans="1:8" s="1083" customFormat="1" ht="13.5" thickBot="1" x14ac:dyDescent="0.25">
      <c r="A61" s="375"/>
      <c r="B61" s="912" t="s">
        <v>365</v>
      </c>
      <c r="C61" s="1394" t="s">
        <v>366</v>
      </c>
      <c r="D61" s="913" t="s">
        <v>366</v>
      </c>
      <c r="E61" s="914"/>
      <c r="F61" s="915"/>
      <c r="G61" s="914"/>
      <c r="H61" s="915"/>
    </row>
    <row r="62" spans="1:8" s="1083" customFormat="1" ht="21.75" thickBot="1" x14ac:dyDescent="0.25">
      <c r="A62" s="395"/>
      <c r="B62" s="477" t="s">
        <v>367</v>
      </c>
      <c r="C62" s="1395" t="s">
        <v>368</v>
      </c>
      <c r="D62" s="916" t="s">
        <v>368</v>
      </c>
      <c r="E62" s="917">
        <f>+E18+E19+E45+E61</f>
        <v>3713523995</v>
      </c>
      <c r="F62" s="918">
        <f>+F18+F19+F45+F61</f>
        <v>2777191311</v>
      </c>
      <c r="G62" s="917">
        <f>+G18+G19+G45+G61</f>
        <v>3836740885</v>
      </c>
      <c r="H62" s="918">
        <f>+H18+H19+H45+H61</f>
        <v>2808342983</v>
      </c>
    </row>
    <row r="63" spans="1:8" s="1083" customFormat="1" x14ac:dyDescent="0.2">
      <c r="A63" s="395"/>
      <c r="B63" s="919" t="s">
        <v>243</v>
      </c>
      <c r="C63" s="1396" t="s">
        <v>369</v>
      </c>
      <c r="D63" s="920" t="s">
        <v>369</v>
      </c>
      <c r="E63" s="921">
        <v>17008253</v>
      </c>
      <c r="F63" s="922">
        <v>17008253</v>
      </c>
      <c r="G63" s="921">
        <v>2374732</v>
      </c>
      <c r="H63" s="922">
        <v>2374732</v>
      </c>
    </row>
    <row r="64" spans="1:8" s="1083" customFormat="1" ht="13.5" thickBot="1" x14ac:dyDescent="0.25">
      <c r="A64" s="395"/>
      <c r="B64" s="912" t="s">
        <v>244</v>
      </c>
      <c r="C64" s="1394" t="s">
        <v>370</v>
      </c>
      <c r="D64" s="913" t="s">
        <v>370</v>
      </c>
      <c r="E64" s="914"/>
      <c r="F64" s="915"/>
      <c r="G64" s="914"/>
      <c r="H64" s="915"/>
    </row>
    <row r="65" spans="1:8" s="1083" customFormat="1" ht="13.5" thickBot="1" x14ac:dyDescent="0.25">
      <c r="A65" s="375"/>
      <c r="B65" s="477" t="s">
        <v>371</v>
      </c>
      <c r="C65" s="1395" t="s">
        <v>372</v>
      </c>
      <c r="D65" s="916" t="s">
        <v>372</v>
      </c>
      <c r="E65" s="917">
        <f t="shared" ref="E65:H65" si="10">+E63+E64</f>
        <v>17008253</v>
      </c>
      <c r="F65" s="918">
        <f t="shared" si="10"/>
        <v>17008253</v>
      </c>
      <c r="G65" s="917">
        <f t="shared" si="10"/>
        <v>2374732</v>
      </c>
      <c r="H65" s="918">
        <f t="shared" si="10"/>
        <v>2374732</v>
      </c>
    </row>
    <row r="66" spans="1:8" s="1083" customFormat="1" x14ac:dyDescent="0.2">
      <c r="A66" s="375"/>
      <c r="B66" s="919" t="s">
        <v>373</v>
      </c>
      <c r="C66" s="1396" t="s">
        <v>374</v>
      </c>
      <c r="D66" s="920" t="s">
        <v>374</v>
      </c>
      <c r="E66" s="921"/>
      <c r="F66" s="922"/>
      <c r="G66" s="921"/>
      <c r="H66" s="922"/>
    </row>
    <row r="67" spans="1:8" s="1083" customFormat="1" x14ac:dyDescent="0.2">
      <c r="A67" s="375"/>
      <c r="B67" s="557" t="s">
        <v>375</v>
      </c>
      <c r="C67" s="1393" t="s">
        <v>376</v>
      </c>
      <c r="D67" s="559" t="s">
        <v>376</v>
      </c>
      <c r="E67" s="904">
        <v>0</v>
      </c>
      <c r="F67" s="905">
        <v>0</v>
      </c>
      <c r="G67" s="904">
        <v>0</v>
      </c>
      <c r="H67" s="905">
        <v>0</v>
      </c>
    </row>
    <row r="68" spans="1:8" s="1083" customFormat="1" ht="12" customHeight="1" x14ac:dyDescent="0.2">
      <c r="A68" s="375"/>
      <c r="B68" s="557" t="s">
        <v>377</v>
      </c>
      <c r="C68" s="1393" t="s">
        <v>378</v>
      </c>
      <c r="D68" s="559" t="s">
        <v>378</v>
      </c>
      <c r="E68" s="904">
        <v>152562170</v>
      </c>
      <c r="F68" s="905">
        <v>152562170</v>
      </c>
      <c r="G68" s="904">
        <v>217144473</v>
      </c>
      <c r="H68" s="905">
        <v>217144473</v>
      </c>
    </row>
    <row r="69" spans="1:8" ht="13.5" thickBot="1" x14ac:dyDescent="0.25">
      <c r="B69" s="912" t="s">
        <v>379</v>
      </c>
      <c r="C69" s="1394" t="s">
        <v>380</v>
      </c>
      <c r="D69" s="913" t="s">
        <v>380</v>
      </c>
      <c r="E69" s="914"/>
      <c r="F69" s="915"/>
      <c r="G69" s="914"/>
      <c r="H69" s="915"/>
    </row>
    <row r="70" spans="1:8" ht="13.5" thickBot="1" x14ac:dyDescent="0.25">
      <c r="B70" s="477" t="s">
        <v>404</v>
      </c>
      <c r="C70" s="1395" t="s">
        <v>381</v>
      </c>
      <c r="D70" s="923" t="s">
        <v>381</v>
      </c>
      <c r="E70" s="917">
        <f t="shared" ref="E70:H70" si="11">+E66+E67+E68+E69</f>
        <v>152562170</v>
      </c>
      <c r="F70" s="918">
        <f t="shared" si="11"/>
        <v>152562170</v>
      </c>
      <c r="G70" s="917">
        <f t="shared" si="11"/>
        <v>217144473</v>
      </c>
      <c r="H70" s="918">
        <f t="shared" si="11"/>
        <v>217144473</v>
      </c>
    </row>
    <row r="71" spans="1:8" ht="21.75" thickBot="1" x14ac:dyDescent="0.25">
      <c r="B71" s="477" t="s">
        <v>442</v>
      </c>
      <c r="C71" s="1395" t="s">
        <v>383</v>
      </c>
      <c r="D71" s="923" t="s">
        <v>382</v>
      </c>
      <c r="E71" s="924">
        <f t="shared" ref="E71:H71" si="12">+E62+E65+E70</f>
        <v>3883094418</v>
      </c>
      <c r="F71" s="939">
        <f t="shared" si="12"/>
        <v>2946761734</v>
      </c>
      <c r="G71" s="924">
        <f t="shared" si="12"/>
        <v>4056260090</v>
      </c>
      <c r="H71" s="939">
        <f t="shared" si="12"/>
        <v>3027862188</v>
      </c>
    </row>
    <row r="72" spans="1:8" ht="18.75" x14ac:dyDescent="0.3">
      <c r="B72" s="1021"/>
      <c r="C72" s="1021"/>
      <c r="D72" s="1021"/>
      <c r="E72" s="548"/>
      <c r="G72" s="375"/>
    </row>
    <row r="73" spans="1:8" ht="18.75" x14ac:dyDescent="0.3">
      <c r="B73" s="1021"/>
      <c r="C73" s="1021"/>
      <c r="D73" s="1021"/>
      <c r="E73" s="548"/>
      <c r="G73" s="375"/>
    </row>
    <row r="76" spans="1:8" ht="15" x14ac:dyDescent="0.25">
      <c r="B76" s="438" t="s">
        <v>41</v>
      </c>
      <c r="E76" s="1085"/>
    </row>
    <row r="77" spans="1:8" ht="15.75" x14ac:dyDescent="0.25">
      <c r="B77" s="1345" t="s">
        <v>609</v>
      </c>
      <c r="C77" s="1345"/>
      <c r="D77" s="1345"/>
      <c r="E77" s="1345"/>
      <c r="F77" s="1345"/>
      <c r="G77" s="1345"/>
    </row>
    <row r="78" spans="1:8" ht="15.75" x14ac:dyDescent="0.25">
      <c r="B78" s="1345"/>
      <c r="C78" s="1345"/>
      <c r="D78" s="1345"/>
      <c r="E78" s="1345"/>
      <c r="F78" s="1345"/>
      <c r="G78" s="1345"/>
    </row>
    <row r="79" spans="1:8" ht="15.75" x14ac:dyDescent="0.2">
      <c r="B79" s="1588" t="s">
        <v>229</v>
      </c>
      <c r="C79" s="1588"/>
      <c r="D79" s="1588"/>
      <c r="E79" s="1588"/>
      <c r="F79" s="1203"/>
      <c r="G79" s="1203"/>
    </row>
    <row r="80" spans="1:8" ht="15.75" x14ac:dyDescent="0.2">
      <c r="B80" s="1203"/>
      <c r="C80" s="478"/>
      <c r="D80" s="478"/>
    </row>
    <row r="81" spans="2:7" ht="15.75" x14ac:dyDescent="0.2">
      <c r="B81" s="1588" t="s">
        <v>610</v>
      </c>
      <c r="C81" s="1588"/>
      <c r="D81" s="1588"/>
      <c r="E81" s="1588"/>
      <c r="F81" s="1203"/>
      <c r="G81" s="1203"/>
    </row>
    <row r="82" spans="2:7" ht="15.75" x14ac:dyDescent="0.2">
      <c r="B82" s="1203"/>
      <c r="C82" s="1203"/>
      <c r="D82" s="1203"/>
      <c r="E82" s="1203"/>
      <c r="F82" s="1203"/>
      <c r="G82" s="1203"/>
    </row>
    <row r="83" spans="2:7" ht="16.5" thickBot="1" x14ac:dyDescent="0.3">
      <c r="B83" s="479"/>
      <c r="C83" s="479"/>
      <c r="D83" s="479"/>
    </row>
    <row r="84" spans="2:7" ht="39.75" thickBot="1" x14ac:dyDescent="0.25">
      <c r="B84" s="480" t="s">
        <v>180</v>
      </c>
      <c r="C84" s="481" t="s">
        <v>188</v>
      </c>
      <c r="D84" s="482" t="s">
        <v>188</v>
      </c>
      <c r="E84" s="1086" t="s">
        <v>537</v>
      </c>
      <c r="F84" s="1086" t="s">
        <v>611</v>
      </c>
      <c r="G84" s="375"/>
    </row>
    <row r="85" spans="2:7" ht="13.5" thickBot="1" x14ac:dyDescent="0.25">
      <c r="B85" s="483">
        <v>1</v>
      </c>
      <c r="C85" s="484" t="s">
        <v>259</v>
      </c>
      <c r="D85" s="484">
        <v>2</v>
      </c>
      <c r="E85" s="1087">
        <v>3</v>
      </c>
      <c r="F85" s="1087">
        <v>4</v>
      </c>
      <c r="G85" s="375"/>
    </row>
    <row r="86" spans="2:7" ht="13.5" thickBot="1" x14ac:dyDescent="0.25">
      <c r="B86" s="925" t="s">
        <v>405</v>
      </c>
      <c r="C86" s="926" t="s">
        <v>0</v>
      </c>
      <c r="D86" s="927">
        <v>1</v>
      </c>
      <c r="E86" s="1088">
        <f>E88+E89+E87</f>
        <v>257750375</v>
      </c>
      <c r="F86" s="1088">
        <f>F88+F89+F87</f>
        <v>272375170</v>
      </c>
      <c r="G86" s="375"/>
    </row>
    <row r="87" spans="2:7" x14ac:dyDescent="0.2">
      <c r="B87" s="730" t="s">
        <v>407</v>
      </c>
      <c r="C87" s="731"/>
      <c r="D87" s="732">
        <v>2</v>
      </c>
      <c r="E87" s="1089">
        <v>31769566</v>
      </c>
      <c r="F87" s="1089">
        <v>32475895</v>
      </c>
      <c r="G87" s="375"/>
    </row>
    <row r="88" spans="2:7" x14ac:dyDescent="0.2">
      <c r="B88" s="492" t="s">
        <v>406</v>
      </c>
      <c r="C88" s="486"/>
      <c r="D88" s="494">
        <v>3</v>
      </c>
      <c r="E88" s="1090">
        <v>2039000</v>
      </c>
      <c r="F88" s="1090">
        <v>990800</v>
      </c>
      <c r="G88" s="375"/>
    </row>
    <row r="89" spans="2:7" x14ac:dyDescent="0.2">
      <c r="B89" s="492" t="s">
        <v>411</v>
      </c>
      <c r="C89" s="486"/>
      <c r="D89" s="494">
        <v>4</v>
      </c>
      <c r="E89" s="1090">
        <v>223941809</v>
      </c>
      <c r="F89" s="1090">
        <v>238908475</v>
      </c>
      <c r="G89" s="375"/>
    </row>
    <row r="90" spans="2:7" x14ac:dyDescent="0.2">
      <c r="B90" s="733" t="s">
        <v>261</v>
      </c>
      <c r="C90" s="734" t="s">
        <v>4</v>
      </c>
      <c r="D90" s="735">
        <v>5</v>
      </c>
      <c r="E90" s="1109">
        <v>0</v>
      </c>
      <c r="F90" s="1109">
        <v>0</v>
      </c>
      <c r="G90" s="375"/>
    </row>
    <row r="91" spans="2:7" x14ac:dyDescent="0.2">
      <c r="B91" s="733" t="s">
        <v>262</v>
      </c>
      <c r="C91" s="734" t="s">
        <v>8</v>
      </c>
      <c r="D91" s="735">
        <v>6</v>
      </c>
      <c r="E91" s="1397">
        <v>58464112</v>
      </c>
      <c r="F91" s="1091">
        <v>57415370</v>
      </c>
      <c r="G91" s="375"/>
    </row>
    <row r="92" spans="2:7" ht="13.5" thickBot="1" x14ac:dyDescent="0.25">
      <c r="B92" s="736" t="s">
        <v>263</v>
      </c>
      <c r="C92" s="737" t="s">
        <v>2</v>
      </c>
      <c r="D92" s="735">
        <v>7</v>
      </c>
      <c r="E92" s="1398">
        <v>0</v>
      </c>
      <c r="F92" s="1102">
        <v>0</v>
      </c>
      <c r="G92" s="375"/>
    </row>
    <row r="93" spans="2:7" ht="13.5" thickBot="1" x14ac:dyDescent="0.25">
      <c r="B93" s="490" t="s">
        <v>410</v>
      </c>
      <c r="C93" s="740" t="s">
        <v>5</v>
      </c>
      <c r="D93" s="739">
        <v>8</v>
      </c>
      <c r="E93" s="1399">
        <f>SUM(E94:E97)</f>
        <v>0</v>
      </c>
      <c r="F93" s="1101">
        <f>SUM(F94:F97)</f>
        <v>0</v>
      </c>
      <c r="G93" s="375"/>
    </row>
    <row r="94" spans="2:7" x14ac:dyDescent="0.2">
      <c r="B94" s="492" t="s">
        <v>264</v>
      </c>
      <c r="C94" s="486" t="s">
        <v>9</v>
      </c>
      <c r="D94" s="494">
        <v>9</v>
      </c>
      <c r="E94" s="1400">
        <v>0</v>
      </c>
      <c r="F94" s="1106">
        <v>0</v>
      </c>
      <c r="G94" s="375"/>
    </row>
    <row r="95" spans="2:7" x14ac:dyDescent="0.2">
      <c r="B95" s="485" t="s">
        <v>265</v>
      </c>
      <c r="C95" s="487" t="s">
        <v>3</v>
      </c>
      <c r="D95" s="495">
        <v>10</v>
      </c>
      <c r="E95" s="1401">
        <v>0</v>
      </c>
      <c r="F95" s="1107">
        <v>0</v>
      </c>
      <c r="G95" s="375"/>
    </row>
    <row r="96" spans="2:7" x14ac:dyDescent="0.2">
      <c r="B96" s="485" t="s">
        <v>266</v>
      </c>
      <c r="C96" s="487" t="s">
        <v>10</v>
      </c>
      <c r="D96" s="495">
        <v>11</v>
      </c>
      <c r="E96" s="1397"/>
      <c r="F96" s="1091"/>
      <c r="G96" s="375"/>
    </row>
    <row r="97" spans="2:7" ht="13.5" thickBot="1" x14ac:dyDescent="0.25">
      <c r="B97" s="488" t="s">
        <v>267</v>
      </c>
      <c r="C97" s="489" t="s">
        <v>6</v>
      </c>
      <c r="D97" s="496">
        <v>12</v>
      </c>
      <c r="E97" s="1402">
        <v>0</v>
      </c>
      <c r="F97" s="1108">
        <v>0</v>
      </c>
      <c r="G97" s="375"/>
    </row>
    <row r="98" spans="2:7" ht="13.5" thickBot="1" x14ac:dyDescent="0.25">
      <c r="B98" s="490" t="s">
        <v>409</v>
      </c>
      <c r="C98" s="740" t="s">
        <v>1</v>
      </c>
      <c r="D98" s="739">
        <v>13</v>
      </c>
      <c r="E98" s="1399">
        <v>0</v>
      </c>
      <c r="F98" s="1101">
        <v>0</v>
      </c>
      <c r="G98" s="375"/>
    </row>
    <row r="99" spans="2:7" x14ac:dyDescent="0.2">
      <c r="B99" s="492" t="s">
        <v>268</v>
      </c>
      <c r="C99" s="486" t="s">
        <v>7</v>
      </c>
      <c r="D99" s="494">
        <v>14</v>
      </c>
      <c r="E99" s="1400">
        <v>0</v>
      </c>
      <c r="F99" s="1106">
        <v>0</v>
      </c>
      <c r="G99" s="375"/>
    </row>
    <row r="100" spans="2:7" x14ac:dyDescent="0.2">
      <c r="B100" s="485" t="s">
        <v>269</v>
      </c>
      <c r="C100" s="487" t="s">
        <v>15</v>
      </c>
      <c r="D100" s="495">
        <v>15</v>
      </c>
      <c r="E100" s="1401">
        <v>0</v>
      </c>
      <c r="F100" s="1107">
        <v>0</v>
      </c>
      <c r="G100" s="375"/>
    </row>
    <row r="101" spans="2:7" ht="13.5" thickBot="1" x14ac:dyDescent="0.25">
      <c r="B101" s="488" t="s">
        <v>270</v>
      </c>
      <c r="C101" s="489" t="s">
        <v>13</v>
      </c>
      <c r="D101" s="496">
        <v>16</v>
      </c>
      <c r="E101" s="1402">
        <v>0</v>
      </c>
      <c r="F101" s="1108">
        <v>0</v>
      </c>
      <c r="G101" s="375"/>
    </row>
    <row r="102" spans="2:7" ht="13.5" thickBot="1" x14ac:dyDescent="0.25">
      <c r="B102" s="490" t="s">
        <v>408</v>
      </c>
      <c r="C102" s="491" t="s">
        <v>25</v>
      </c>
      <c r="D102" s="739">
        <v>17</v>
      </c>
      <c r="E102" s="1399">
        <v>0</v>
      </c>
      <c r="F102" s="1101">
        <v>0</v>
      </c>
      <c r="G102" s="375"/>
    </row>
    <row r="103" spans="2:7" x14ac:dyDescent="0.2">
      <c r="B103" s="492" t="s">
        <v>271</v>
      </c>
      <c r="C103" s="486" t="s">
        <v>28</v>
      </c>
      <c r="D103" s="494">
        <v>18</v>
      </c>
      <c r="E103" s="1400">
        <v>0</v>
      </c>
      <c r="F103" s="1106">
        <v>0</v>
      </c>
      <c r="G103" s="375"/>
    </row>
    <row r="104" spans="2:7" x14ac:dyDescent="0.2">
      <c r="B104" s="485" t="s">
        <v>272</v>
      </c>
      <c r="C104" s="487" t="s">
        <v>26</v>
      </c>
      <c r="D104" s="495">
        <v>19</v>
      </c>
      <c r="E104" s="1401">
        <v>0</v>
      </c>
      <c r="F104" s="1107">
        <v>0</v>
      </c>
      <c r="G104" s="375"/>
    </row>
    <row r="105" spans="2:7" x14ac:dyDescent="0.2">
      <c r="B105" s="485" t="s">
        <v>273</v>
      </c>
      <c r="C105" s="487" t="s">
        <v>27</v>
      </c>
      <c r="D105" s="495">
        <v>20</v>
      </c>
      <c r="E105" s="1401">
        <v>0</v>
      </c>
      <c r="F105" s="1107">
        <v>0</v>
      </c>
      <c r="G105" s="375"/>
    </row>
    <row r="106" spans="2:7" x14ac:dyDescent="0.2">
      <c r="B106" s="485" t="s">
        <v>274</v>
      </c>
      <c r="C106" s="487" t="s">
        <v>29</v>
      </c>
      <c r="D106" s="495">
        <v>21</v>
      </c>
      <c r="E106" s="1401">
        <v>0</v>
      </c>
      <c r="F106" s="1107">
        <v>0</v>
      </c>
      <c r="G106" s="375"/>
    </row>
    <row r="107" spans="2:7" x14ac:dyDescent="0.2">
      <c r="B107" s="485"/>
      <c r="C107" s="487" t="s">
        <v>30</v>
      </c>
      <c r="D107" s="495"/>
      <c r="E107" s="1091"/>
      <c r="F107" s="1091"/>
      <c r="G107" s="375"/>
    </row>
    <row r="108" spans="2:7" x14ac:dyDescent="0.2">
      <c r="B108" s="485"/>
      <c r="C108" s="487" t="s">
        <v>31</v>
      </c>
      <c r="D108" s="495"/>
      <c r="E108" s="1091"/>
      <c r="F108" s="1091"/>
      <c r="G108" s="375"/>
    </row>
    <row r="109" spans="2:7" x14ac:dyDescent="0.2">
      <c r="B109" s="485"/>
      <c r="C109" s="487" t="s">
        <v>12</v>
      </c>
      <c r="D109" s="495"/>
      <c r="E109" s="1091"/>
      <c r="F109" s="1091"/>
      <c r="G109" s="375"/>
    </row>
    <row r="110" spans="2:7" x14ac:dyDescent="0.2">
      <c r="B110" s="485"/>
      <c r="C110" s="487" t="s">
        <v>32</v>
      </c>
      <c r="D110" s="495"/>
      <c r="E110" s="1091"/>
      <c r="F110" s="1091"/>
      <c r="G110" s="375"/>
    </row>
    <row r="111" spans="2:7" x14ac:dyDescent="0.2">
      <c r="B111" s="485"/>
      <c r="C111" s="487" t="s">
        <v>33</v>
      </c>
      <c r="D111" s="495"/>
      <c r="E111" s="1091"/>
      <c r="F111" s="1091"/>
      <c r="G111" s="375"/>
    </row>
    <row r="112" spans="2:7" x14ac:dyDescent="0.2">
      <c r="B112" s="485"/>
      <c r="C112" s="487" t="s">
        <v>34</v>
      </c>
      <c r="D112" s="495"/>
      <c r="E112" s="1091"/>
      <c r="F112" s="1091"/>
      <c r="G112" s="375"/>
    </row>
    <row r="113" spans="2:7" x14ac:dyDescent="0.2">
      <c r="B113" s="485"/>
      <c r="C113" s="487" t="s">
        <v>36</v>
      </c>
      <c r="D113" s="495"/>
      <c r="E113" s="1091"/>
      <c r="F113" s="1091"/>
      <c r="G113" s="375"/>
    </row>
    <row r="114" spans="2:7" x14ac:dyDescent="0.2">
      <c r="B114" s="485"/>
      <c r="C114" s="487" t="s">
        <v>37</v>
      </c>
      <c r="D114" s="495"/>
      <c r="E114" s="1091"/>
      <c r="F114" s="1091"/>
      <c r="G114" s="375"/>
    </row>
    <row r="115" spans="2:7" x14ac:dyDescent="0.2">
      <c r="B115" s="485"/>
      <c r="C115" s="487" t="s">
        <v>38</v>
      </c>
      <c r="D115" s="495"/>
      <c r="E115" s="1091"/>
      <c r="F115" s="1091"/>
      <c r="G115" s="375"/>
    </row>
    <row r="116" spans="2:7" x14ac:dyDescent="0.2">
      <c r="B116" s="485"/>
      <c r="C116" s="487" t="s">
        <v>160</v>
      </c>
      <c r="D116" s="495"/>
      <c r="E116" s="1091"/>
      <c r="F116" s="1091"/>
      <c r="G116" s="375"/>
    </row>
    <row r="117" spans="2:7" x14ac:dyDescent="0.2">
      <c r="B117" s="485"/>
      <c r="C117" s="487" t="s">
        <v>161</v>
      </c>
      <c r="D117" s="495"/>
      <c r="E117" s="1091"/>
      <c r="F117" s="1091"/>
      <c r="G117" s="375"/>
    </row>
    <row r="118" spans="2:7" x14ac:dyDescent="0.2">
      <c r="B118" s="485"/>
      <c r="C118" s="487" t="s">
        <v>162</v>
      </c>
      <c r="D118" s="495"/>
      <c r="E118" s="1091"/>
      <c r="F118" s="1091"/>
      <c r="G118" s="375"/>
    </row>
    <row r="119" spans="2:7" x14ac:dyDescent="0.2">
      <c r="B119" s="485"/>
      <c r="C119" s="487" t="s">
        <v>168</v>
      </c>
      <c r="D119" s="495"/>
      <c r="E119" s="1091"/>
      <c r="F119" s="1091"/>
      <c r="G119" s="375"/>
    </row>
    <row r="120" spans="2:7" x14ac:dyDescent="0.2">
      <c r="B120" s="485"/>
      <c r="C120" s="487" t="s">
        <v>169</v>
      </c>
      <c r="D120" s="495"/>
      <c r="E120" s="1091"/>
      <c r="F120" s="1091"/>
      <c r="G120" s="375"/>
    </row>
    <row r="121" spans="2:7" ht="13.5" thickBot="1" x14ac:dyDescent="0.25">
      <c r="B121" s="497"/>
      <c r="C121" s="498" t="s">
        <v>170</v>
      </c>
      <c r="D121" s="499"/>
      <c r="E121" s="1092"/>
      <c r="F121" s="1092"/>
      <c r="G121" s="375"/>
    </row>
    <row r="122" spans="2:7" ht="13.5" thickBot="1" x14ac:dyDescent="0.25">
      <c r="B122" s="1204" t="s">
        <v>412</v>
      </c>
      <c r="C122" s="1205"/>
      <c r="D122" s="1205"/>
      <c r="E122" s="738">
        <f>E86+E90+E91+E92+E93+E98+E102</f>
        <v>316214487</v>
      </c>
      <c r="F122" s="738">
        <f>F86+F90+F91+F92+F93+F98+F102</f>
        <v>329790540</v>
      </c>
    </row>
    <row r="123" spans="2:7" ht="15.75" x14ac:dyDescent="0.25">
      <c r="B123" s="493" t="s">
        <v>275</v>
      </c>
      <c r="C123" s="479"/>
      <c r="D123" s="479"/>
    </row>
    <row r="125" spans="2:7" x14ac:dyDescent="0.2">
      <c r="B125" s="395"/>
      <c r="C125" s="395"/>
      <c r="D125" s="395"/>
    </row>
    <row r="126" spans="2:7" x14ac:dyDescent="0.2">
      <c r="B126" s="395"/>
      <c r="C126" s="395"/>
      <c r="D126" s="395"/>
    </row>
  </sheetData>
  <mergeCells count="10">
    <mergeCell ref="B79:E79"/>
    <mergeCell ref="B81:E81"/>
    <mergeCell ref="E16:F16"/>
    <mergeCell ref="G16:H16"/>
    <mergeCell ref="B5:H5"/>
    <mergeCell ref="B7:H7"/>
    <mergeCell ref="B9:H9"/>
    <mergeCell ref="B10:H10"/>
    <mergeCell ref="E13:F13"/>
    <mergeCell ref="G13:H13"/>
  </mergeCells>
  <pageMargins left="0.42" right="0.5184375" top="0.82687500000000003" bottom="0.92531249999999998" header="0.51181102362204722" footer="0.51181102362204722"/>
  <pageSetup paperSize="9" scale="51" orientation="portrait" r:id="rId1"/>
  <headerFooter alignWithMargins="0">
    <oddHeader xml:space="preserve">&amp;R11. sz. melléklet
12/2018.(V.31.) Egyek Önk. r.
</oddHeader>
  </headerFooter>
  <rowBreaks count="2" manualBreakCount="2">
    <brk id="71" max="11" man="1"/>
    <brk id="123" max="7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3" zoomScale="130" zoomScaleNormal="130" workbookViewId="0">
      <selection activeCell="G28" sqref="G28"/>
    </sheetView>
  </sheetViews>
  <sheetFormatPr defaultColWidth="9.140625" defaultRowHeight="12.75" x14ac:dyDescent="0.2"/>
  <cols>
    <col min="1" max="1" width="4.7109375" style="410" customWidth="1"/>
    <col min="2" max="2" width="43.5703125" style="410" customWidth="1"/>
    <col min="3" max="3" width="16.28515625" style="410" customWidth="1"/>
    <col min="4" max="4" width="17.5703125" style="410" customWidth="1"/>
    <col min="5" max="5" width="13.42578125" style="410" customWidth="1"/>
    <col min="6" max="6" width="10.42578125" style="410" customWidth="1"/>
    <col min="7" max="7" width="12.7109375" style="410" customWidth="1"/>
    <col min="8" max="8" width="16.28515625" style="410" customWidth="1"/>
    <col min="9" max="9" width="15.28515625" style="410" customWidth="1"/>
    <col min="10" max="13" width="9.140625" style="410"/>
    <col min="14" max="16384" width="9.140625" style="406"/>
  </cols>
  <sheetData>
    <row r="1" spans="1:9" ht="15.75" x14ac:dyDescent="0.25">
      <c r="G1" s="1600"/>
      <c r="H1" s="1600"/>
      <c r="I1" s="1600"/>
    </row>
    <row r="2" spans="1:9" ht="15.75" x14ac:dyDescent="0.25">
      <c r="A2" s="1601"/>
      <c r="B2" s="1601"/>
      <c r="C2" s="1601"/>
      <c r="D2" s="1601"/>
      <c r="E2" s="1601"/>
      <c r="F2" s="1601"/>
      <c r="G2" s="1601"/>
      <c r="H2" s="1601"/>
      <c r="I2" s="1601"/>
    </row>
    <row r="3" spans="1:9" ht="17.25" customHeight="1" x14ac:dyDescent="0.25">
      <c r="A3" s="1602" t="s">
        <v>547</v>
      </c>
      <c r="B3" s="1602"/>
      <c r="C3" s="1602"/>
      <c r="D3" s="1602"/>
      <c r="E3" s="1602"/>
      <c r="F3" s="1602"/>
      <c r="G3" s="1602"/>
      <c r="H3" s="1602"/>
      <c r="I3" s="1602"/>
    </row>
    <row r="4" spans="1:9" ht="17.25" customHeight="1" x14ac:dyDescent="0.25">
      <c r="A4" s="411"/>
      <c r="B4" s="411"/>
      <c r="C4" s="411"/>
      <c r="D4" s="411"/>
      <c r="E4" s="411"/>
      <c r="F4" s="411"/>
      <c r="G4" s="411"/>
      <c r="H4" s="411"/>
      <c r="I4" s="411"/>
    </row>
    <row r="5" spans="1:9" ht="17.25" customHeight="1" x14ac:dyDescent="0.25">
      <c r="A5" s="411"/>
      <c r="B5" s="1603"/>
      <c r="C5" s="1603"/>
      <c r="D5" s="1603"/>
      <c r="E5" s="1603"/>
      <c r="F5" s="1603"/>
      <c r="G5" s="1603"/>
      <c r="H5" s="1603"/>
      <c r="I5" s="411"/>
    </row>
    <row r="7" spans="1:9" ht="13.5" customHeight="1" thickBot="1" x14ac:dyDescent="0.3">
      <c r="H7" s="1604" t="s">
        <v>455</v>
      </c>
      <c r="I7" s="1604"/>
    </row>
    <row r="8" spans="1:9" ht="15.75" x14ac:dyDescent="0.2">
      <c r="A8" s="1605" t="s">
        <v>188</v>
      </c>
      <c r="B8" s="1607" t="s">
        <v>245</v>
      </c>
      <c r="C8" s="1609" t="s">
        <v>189</v>
      </c>
      <c r="D8" s="1609" t="s">
        <v>190</v>
      </c>
      <c r="E8" s="1609"/>
      <c r="F8" s="1609"/>
      <c r="G8" s="1609"/>
      <c r="H8" s="1609"/>
      <c r="I8" s="1611"/>
    </row>
    <row r="9" spans="1:9" ht="47.25" x14ac:dyDescent="0.2">
      <c r="A9" s="1606"/>
      <c r="B9" s="1608"/>
      <c r="C9" s="1610"/>
      <c r="D9" s="440" t="s">
        <v>191</v>
      </c>
      <c r="E9" s="440" t="s">
        <v>192</v>
      </c>
      <c r="F9" s="440" t="s">
        <v>193</v>
      </c>
      <c r="G9" s="440" t="s">
        <v>194</v>
      </c>
      <c r="H9" s="440" t="s">
        <v>195</v>
      </c>
      <c r="I9" s="441" t="s">
        <v>196</v>
      </c>
    </row>
    <row r="10" spans="1:9" ht="13.5" thickBot="1" x14ac:dyDescent="0.25">
      <c r="A10" s="442" t="s">
        <v>0</v>
      </c>
      <c r="B10" s="443" t="s">
        <v>4</v>
      </c>
      <c r="C10" s="443" t="s">
        <v>8</v>
      </c>
      <c r="D10" s="443" t="s">
        <v>2</v>
      </c>
      <c r="E10" s="443" t="s">
        <v>5</v>
      </c>
      <c r="F10" s="443" t="s">
        <v>9</v>
      </c>
      <c r="G10" s="443" t="s">
        <v>3</v>
      </c>
      <c r="H10" s="443" t="s">
        <v>197</v>
      </c>
      <c r="I10" s="444" t="s">
        <v>198</v>
      </c>
    </row>
    <row r="11" spans="1:9" ht="16.5" thickBot="1" x14ac:dyDescent="0.3">
      <c r="A11" s="1612" t="s">
        <v>246</v>
      </c>
      <c r="B11" s="1612"/>
    </row>
    <row r="12" spans="1:9" ht="15.75" thickBot="1" x14ac:dyDescent="0.3">
      <c r="A12" s="445" t="s">
        <v>0</v>
      </c>
      <c r="B12" s="446" t="s">
        <v>247</v>
      </c>
      <c r="C12" s="412">
        <v>112570</v>
      </c>
      <c r="D12" s="412"/>
      <c r="E12" s="412"/>
      <c r="F12" s="412"/>
      <c r="G12" s="412"/>
      <c r="H12" s="412"/>
      <c r="I12" s="413">
        <f>SUM(C12+H12)</f>
        <v>112570</v>
      </c>
    </row>
    <row r="13" spans="1:9" ht="15.75" thickBot="1" x14ac:dyDescent="0.3">
      <c r="A13" s="447" t="s">
        <v>4</v>
      </c>
      <c r="B13" s="448" t="s">
        <v>248</v>
      </c>
      <c r="C13" s="414"/>
      <c r="D13" s="414"/>
      <c r="E13" s="414"/>
      <c r="F13" s="414"/>
      <c r="G13" s="414"/>
      <c r="H13" s="414"/>
      <c r="I13" s="413">
        <f t="shared" ref="I13:I18" si="0">SUM(C13+H13)</f>
        <v>0</v>
      </c>
    </row>
    <row r="14" spans="1:9" ht="15.75" thickBot="1" x14ac:dyDescent="0.3">
      <c r="A14" s="447" t="s">
        <v>8</v>
      </c>
      <c r="B14" s="448" t="s">
        <v>249</v>
      </c>
      <c r="C14" s="414"/>
      <c r="D14" s="414"/>
      <c r="E14" s="414"/>
      <c r="F14" s="414"/>
      <c r="G14" s="414"/>
      <c r="H14" s="414"/>
      <c r="I14" s="413">
        <f t="shared" si="0"/>
        <v>0</v>
      </c>
    </row>
    <row r="15" spans="1:9" ht="15.75" thickBot="1" x14ac:dyDescent="0.3">
      <c r="A15" s="447" t="s">
        <v>2</v>
      </c>
      <c r="B15" s="448" t="s">
        <v>250</v>
      </c>
      <c r="C15" s="414"/>
      <c r="D15" s="414"/>
      <c r="E15" s="414"/>
      <c r="F15" s="414"/>
      <c r="G15" s="414"/>
      <c r="H15" s="414"/>
      <c r="I15" s="413">
        <f t="shared" si="0"/>
        <v>0</v>
      </c>
    </row>
    <row r="16" spans="1:9" ht="15.75" thickBot="1" x14ac:dyDescent="0.3">
      <c r="A16" s="447" t="s">
        <v>5</v>
      </c>
      <c r="B16" s="448" t="s">
        <v>251</v>
      </c>
      <c r="C16" s="449"/>
      <c r="D16" s="449"/>
      <c r="E16" s="449"/>
      <c r="F16" s="449"/>
      <c r="G16" s="449"/>
      <c r="H16" s="449"/>
      <c r="I16" s="413">
        <f t="shared" si="0"/>
        <v>0</v>
      </c>
    </row>
    <row r="17" spans="1:9" ht="15.75" thickBot="1" x14ac:dyDescent="0.3">
      <c r="A17" s="447" t="s">
        <v>9</v>
      </c>
      <c r="B17" s="448" t="s">
        <v>252</v>
      </c>
      <c r="C17" s="416">
        <v>8233000</v>
      </c>
      <c r="D17" s="416">
        <v>175844</v>
      </c>
      <c r="E17" s="416"/>
      <c r="F17" s="416"/>
      <c r="G17" s="416"/>
      <c r="H17" s="416">
        <f>SUM(D17:G17)</f>
        <v>175844</v>
      </c>
      <c r="I17" s="413">
        <f t="shared" si="0"/>
        <v>8408844</v>
      </c>
    </row>
    <row r="18" spans="1:9" ht="15.75" thickBot="1" x14ac:dyDescent="0.3">
      <c r="A18" s="451" t="s">
        <v>3</v>
      </c>
      <c r="B18" s="452" t="s">
        <v>253</v>
      </c>
      <c r="C18" s="453"/>
      <c r="D18" s="453"/>
      <c r="E18" s="453"/>
      <c r="F18" s="453"/>
      <c r="G18" s="453"/>
      <c r="H18" s="416"/>
      <c r="I18" s="413">
        <f t="shared" si="0"/>
        <v>0</v>
      </c>
    </row>
    <row r="19" spans="1:9" ht="15" thickBot="1" x14ac:dyDescent="0.25">
      <c r="A19" s="1613" t="s">
        <v>254</v>
      </c>
      <c r="B19" s="1614"/>
      <c r="C19" s="454">
        <f t="shared" ref="C19:I19" si="1">C12+C13+C14+C16+C15+C17+C18</f>
        <v>8345570</v>
      </c>
      <c r="D19" s="454">
        <f t="shared" si="1"/>
        <v>175844</v>
      </c>
      <c r="E19" s="454">
        <f t="shared" si="1"/>
        <v>0</v>
      </c>
      <c r="F19" s="454">
        <f t="shared" si="1"/>
        <v>0</v>
      </c>
      <c r="G19" s="454">
        <f t="shared" si="1"/>
        <v>0</v>
      </c>
      <c r="H19" s="454">
        <f t="shared" si="1"/>
        <v>175844</v>
      </c>
      <c r="I19" s="455">
        <f t="shared" si="1"/>
        <v>8521414</v>
      </c>
    </row>
    <row r="20" spans="1:9" ht="16.5" thickBot="1" x14ac:dyDescent="0.3">
      <c r="A20" s="1595" t="s">
        <v>255</v>
      </c>
      <c r="B20" s="1595"/>
    </row>
    <row r="21" spans="1:9" ht="15" x14ac:dyDescent="0.25">
      <c r="A21" s="456" t="s">
        <v>0</v>
      </c>
      <c r="B21" s="457" t="s">
        <v>256</v>
      </c>
      <c r="C21" s="446"/>
      <c r="D21" s="446"/>
      <c r="E21" s="446"/>
      <c r="F21" s="446"/>
      <c r="G21" s="446"/>
      <c r="H21" s="446"/>
      <c r="I21" s="458"/>
    </row>
    <row r="22" spans="1:9" ht="15.75" thickBot="1" x14ac:dyDescent="0.3">
      <c r="A22" s="459" t="s">
        <v>4</v>
      </c>
      <c r="B22" s="460" t="s">
        <v>253</v>
      </c>
      <c r="C22" s="452"/>
      <c r="D22" s="452"/>
      <c r="E22" s="452"/>
      <c r="F22" s="452"/>
      <c r="G22" s="452"/>
      <c r="H22" s="452"/>
      <c r="I22" s="461"/>
    </row>
    <row r="23" spans="1:9" ht="15" thickBot="1" x14ac:dyDescent="0.25">
      <c r="A23" s="1596" t="s">
        <v>257</v>
      </c>
      <c r="B23" s="1597"/>
      <c r="C23" s="462"/>
      <c r="D23" s="462"/>
      <c r="E23" s="462"/>
      <c r="F23" s="462"/>
      <c r="G23" s="462"/>
      <c r="H23" s="462"/>
      <c r="I23" s="463"/>
    </row>
    <row r="24" spans="1:9" ht="15.75" thickBot="1" x14ac:dyDescent="0.3">
      <c r="A24" s="1598" t="s">
        <v>258</v>
      </c>
      <c r="B24" s="1599"/>
      <c r="C24" s="464">
        <f>C23+C19</f>
        <v>8345570</v>
      </c>
      <c r="D24" s="464">
        <f t="shared" ref="D24:I24" si="2">D23+D19</f>
        <v>175844</v>
      </c>
      <c r="E24" s="464">
        <f t="shared" si="2"/>
        <v>0</v>
      </c>
      <c r="F24" s="464">
        <f t="shared" si="2"/>
        <v>0</v>
      </c>
      <c r="G24" s="464">
        <f t="shared" si="2"/>
        <v>0</v>
      </c>
      <c r="H24" s="464">
        <f t="shared" si="2"/>
        <v>175844</v>
      </c>
      <c r="I24" s="464">
        <f t="shared" si="2"/>
        <v>8521414</v>
      </c>
    </row>
    <row r="28" spans="1:9" x14ac:dyDescent="0.2">
      <c r="I28" s="1282"/>
    </row>
  </sheetData>
  <mergeCells count="14">
    <mergeCell ref="A20:B20"/>
    <mergeCell ref="A23:B23"/>
    <mergeCell ref="A24:B24"/>
    <mergeCell ref="G1:I1"/>
    <mergeCell ref="A2:I2"/>
    <mergeCell ref="A3:I3"/>
    <mergeCell ref="B5:H5"/>
    <mergeCell ref="H7:I7"/>
    <mergeCell ref="A8:A9"/>
    <mergeCell ref="B8:B9"/>
    <mergeCell ref="C8:C9"/>
    <mergeCell ref="D8:I8"/>
    <mergeCell ref="A11:B11"/>
    <mergeCell ref="A19:B19"/>
  </mergeCells>
  <pageMargins left="0.75" right="0.75" top="1" bottom="1" header="0.5" footer="0.5"/>
  <pageSetup paperSize="9" scale="88" orientation="landscape" r:id="rId1"/>
  <headerFooter alignWithMargins="0">
    <oddHeader xml:space="preserve">&amp;R12.1 sz. melléklet
........./2019.(V.30.) Egyek Önk. r.
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110" zoomScaleNormal="110" workbookViewId="0">
      <selection activeCell="I31" sqref="I31"/>
    </sheetView>
  </sheetViews>
  <sheetFormatPr defaultColWidth="9.140625" defaultRowHeight="12.75" x14ac:dyDescent="0.2"/>
  <cols>
    <col min="1" max="1" width="4.7109375" style="410" customWidth="1"/>
    <col min="2" max="2" width="43.5703125" style="410" customWidth="1"/>
    <col min="3" max="3" width="14" style="410" customWidth="1"/>
    <col min="4" max="4" width="11.7109375" style="410" customWidth="1"/>
    <col min="5" max="5" width="12.140625" style="410" customWidth="1"/>
    <col min="6" max="6" width="9.7109375" style="410" bestFit="1" customWidth="1"/>
    <col min="7" max="7" width="11.28515625" style="410" customWidth="1"/>
    <col min="8" max="8" width="11.7109375" style="410" customWidth="1"/>
    <col min="9" max="9" width="15.5703125" style="410" customWidth="1"/>
    <col min="10" max="13" width="9.140625" style="410"/>
    <col min="14" max="16384" width="9.140625" style="406"/>
  </cols>
  <sheetData>
    <row r="1" spans="1:9" ht="15.75" x14ac:dyDescent="0.25">
      <c r="G1" s="1600"/>
      <c r="H1" s="1600"/>
      <c r="I1" s="1600"/>
    </row>
    <row r="2" spans="1:9" ht="15.75" x14ac:dyDescent="0.25">
      <c r="A2" s="1601"/>
      <c r="B2" s="1601"/>
      <c r="C2" s="1601"/>
      <c r="D2" s="1601"/>
      <c r="E2" s="1601"/>
      <c r="F2" s="1601"/>
      <c r="G2" s="1601"/>
      <c r="H2" s="1601"/>
      <c r="I2" s="1601"/>
    </row>
    <row r="3" spans="1:9" ht="15.75" x14ac:dyDescent="0.25">
      <c r="A3" s="418"/>
      <c r="B3" s="418"/>
      <c r="C3" s="418"/>
      <c r="D3" s="418"/>
      <c r="E3" s="418"/>
      <c r="F3" s="418"/>
      <c r="G3" s="418"/>
      <c r="H3" s="418"/>
      <c r="I3" s="418"/>
    </row>
    <row r="4" spans="1:9" ht="27.6" customHeight="1" x14ac:dyDescent="0.2">
      <c r="A4" s="1615" t="s">
        <v>548</v>
      </c>
      <c r="B4" s="1615"/>
      <c r="C4" s="1615"/>
      <c r="D4" s="1615"/>
      <c r="E4" s="1615"/>
      <c r="F4" s="1615"/>
      <c r="G4" s="1615"/>
      <c r="H4" s="1615"/>
      <c r="I4" s="1615"/>
    </row>
    <row r="5" spans="1:9" ht="17.25" customHeight="1" x14ac:dyDescent="0.25">
      <c r="A5" s="411"/>
      <c r="B5" s="411"/>
      <c r="C5" s="411"/>
      <c r="D5" s="411"/>
      <c r="E5" s="411"/>
      <c r="F5" s="411"/>
      <c r="G5" s="411"/>
      <c r="H5" s="411"/>
      <c r="I5" s="411"/>
    </row>
    <row r="6" spans="1:9" ht="17.25" customHeight="1" x14ac:dyDescent="0.25">
      <c r="A6" s="411"/>
      <c r="B6" s="1603"/>
      <c r="C6" s="1603"/>
      <c r="D6" s="1603"/>
      <c r="E6" s="1603"/>
      <c r="F6" s="1603"/>
      <c r="G6" s="1603"/>
      <c r="H6" s="1603"/>
      <c r="I6" s="411"/>
    </row>
    <row r="8" spans="1:9" ht="13.5" customHeight="1" thickBot="1" x14ac:dyDescent="0.3">
      <c r="H8" s="1616" t="s">
        <v>455</v>
      </c>
      <c r="I8" s="1616"/>
    </row>
    <row r="9" spans="1:9" ht="15.75" x14ac:dyDescent="0.2">
      <c r="A9" s="1605" t="s">
        <v>188</v>
      </c>
      <c r="B9" s="1607" t="s">
        <v>245</v>
      </c>
      <c r="C9" s="1609" t="s">
        <v>189</v>
      </c>
      <c r="D9" s="1609" t="s">
        <v>190</v>
      </c>
      <c r="E9" s="1609"/>
      <c r="F9" s="1609"/>
      <c r="G9" s="1609"/>
      <c r="H9" s="1609"/>
      <c r="I9" s="1611"/>
    </row>
    <row r="10" spans="1:9" ht="47.25" x14ac:dyDescent="0.2">
      <c r="A10" s="1606"/>
      <c r="B10" s="1608"/>
      <c r="C10" s="1610"/>
      <c r="D10" s="440" t="s">
        <v>191</v>
      </c>
      <c r="E10" s="440" t="s">
        <v>192</v>
      </c>
      <c r="F10" s="440" t="s">
        <v>193</v>
      </c>
      <c r="G10" s="440" t="s">
        <v>194</v>
      </c>
      <c r="H10" s="440" t="s">
        <v>195</v>
      </c>
      <c r="I10" s="441" t="s">
        <v>549</v>
      </c>
    </row>
    <row r="11" spans="1:9" ht="13.5" thickBot="1" x14ac:dyDescent="0.25">
      <c r="A11" s="442" t="s">
        <v>0</v>
      </c>
      <c r="B11" s="443" t="s">
        <v>4</v>
      </c>
      <c r="C11" s="443" t="s">
        <v>8</v>
      </c>
      <c r="D11" s="443" t="s">
        <v>2</v>
      </c>
      <c r="E11" s="443" t="s">
        <v>5</v>
      </c>
      <c r="F11" s="443" t="s">
        <v>9</v>
      </c>
      <c r="G11" s="443" t="s">
        <v>3</v>
      </c>
      <c r="H11" s="443" t="s">
        <v>197</v>
      </c>
      <c r="I11" s="444" t="s">
        <v>198</v>
      </c>
    </row>
    <row r="12" spans="1:9" ht="16.5" thickBot="1" x14ac:dyDescent="0.3">
      <c r="A12" s="1612" t="s">
        <v>246</v>
      </c>
      <c r="B12" s="1612"/>
    </row>
    <row r="13" spans="1:9" ht="15" x14ac:dyDescent="0.25">
      <c r="A13" s="445" t="s">
        <v>0</v>
      </c>
      <c r="B13" s="446" t="s">
        <v>247</v>
      </c>
      <c r="C13" s="412"/>
      <c r="D13" s="412"/>
      <c r="E13" s="412"/>
      <c r="F13" s="412"/>
      <c r="G13" s="412"/>
      <c r="H13" s="412"/>
      <c r="I13" s="413"/>
    </row>
    <row r="14" spans="1:9" ht="15" x14ac:dyDescent="0.25">
      <c r="A14" s="447" t="s">
        <v>4</v>
      </c>
      <c r="B14" s="448" t="s">
        <v>248</v>
      </c>
      <c r="C14" s="414"/>
      <c r="D14" s="414"/>
      <c r="E14" s="414"/>
      <c r="F14" s="414"/>
      <c r="G14" s="414"/>
      <c r="H14" s="414"/>
      <c r="I14" s="415"/>
    </row>
    <row r="15" spans="1:9" ht="15" x14ac:dyDescent="0.25">
      <c r="A15" s="447" t="s">
        <v>8</v>
      </c>
      <c r="B15" s="448" t="s">
        <v>249</v>
      </c>
      <c r="C15" s="414"/>
      <c r="D15" s="414"/>
      <c r="E15" s="414"/>
      <c r="F15" s="414"/>
      <c r="G15" s="414"/>
      <c r="H15" s="414"/>
      <c r="I15" s="415"/>
    </row>
    <row r="16" spans="1:9" ht="15" x14ac:dyDescent="0.25">
      <c r="A16" s="447" t="s">
        <v>2</v>
      </c>
      <c r="B16" s="448" t="s">
        <v>250</v>
      </c>
      <c r="C16" s="414"/>
      <c r="D16" s="414"/>
      <c r="E16" s="414"/>
      <c r="F16" s="414"/>
      <c r="G16" s="414"/>
      <c r="H16" s="414"/>
      <c r="I16" s="415"/>
    </row>
    <row r="17" spans="1:9" ht="15" x14ac:dyDescent="0.25">
      <c r="A17" s="447" t="s">
        <v>5</v>
      </c>
      <c r="B17" s="448" t="s">
        <v>251</v>
      </c>
      <c r="C17" s="449"/>
      <c r="D17" s="449"/>
      <c r="E17" s="449"/>
      <c r="F17" s="449"/>
      <c r="G17" s="449"/>
      <c r="H17" s="449"/>
      <c r="I17" s="450"/>
    </row>
    <row r="18" spans="1:9" ht="15" x14ac:dyDescent="0.25">
      <c r="A18" s="447" t="s">
        <v>9</v>
      </c>
      <c r="B18" s="448" t="s">
        <v>252</v>
      </c>
      <c r="C18" s="416">
        <v>543830</v>
      </c>
      <c r="D18" s="416">
        <v>35928</v>
      </c>
      <c r="E18" s="416"/>
      <c r="F18" s="416"/>
      <c r="G18" s="416"/>
      <c r="H18" s="416">
        <f>SUM(D18:G18)</f>
        <v>35928</v>
      </c>
      <c r="I18" s="417">
        <f>SUM(C18+H18)</f>
        <v>579758</v>
      </c>
    </row>
    <row r="19" spans="1:9" ht="15.75" thickBot="1" x14ac:dyDescent="0.3">
      <c r="A19" s="451" t="s">
        <v>3</v>
      </c>
      <c r="B19" s="452" t="s">
        <v>253</v>
      </c>
      <c r="C19" s="453"/>
      <c r="D19" s="453"/>
      <c r="E19" s="453"/>
      <c r="F19" s="453"/>
      <c r="G19" s="453"/>
      <c r="H19" s="416">
        <f>G19+F19+E19+D19</f>
        <v>0</v>
      </c>
      <c r="I19" s="417">
        <f>H19+C19</f>
        <v>0</v>
      </c>
    </row>
    <row r="20" spans="1:9" ht="15" thickBot="1" x14ac:dyDescent="0.25">
      <c r="A20" s="1613" t="s">
        <v>254</v>
      </c>
      <c r="B20" s="1614"/>
      <c r="C20" s="454">
        <f t="shared" ref="C20:I20" si="0">C13+C14+C15+C17+C16+C18+C19</f>
        <v>543830</v>
      </c>
      <c r="D20" s="454">
        <f t="shared" si="0"/>
        <v>35928</v>
      </c>
      <c r="E20" s="454">
        <f t="shared" si="0"/>
        <v>0</v>
      </c>
      <c r="F20" s="454">
        <f t="shared" si="0"/>
        <v>0</v>
      </c>
      <c r="G20" s="454">
        <f t="shared" si="0"/>
        <v>0</v>
      </c>
      <c r="H20" s="454">
        <f t="shared" si="0"/>
        <v>35928</v>
      </c>
      <c r="I20" s="455">
        <f t="shared" si="0"/>
        <v>579758</v>
      </c>
    </row>
    <row r="21" spans="1:9" ht="16.5" thickBot="1" x14ac:dyDescent="0.3">
      <c r="A21" s="1595" t="s">
        <v>255</v>
      </c>
      <c r="B21" s="1595"/>
    </row>
    <row r="22" spans="1:9" ht="15" x14ac:dyDescent="0.25">
      <c r="A22" s="456" t="s">
        <v>0</v>
      </c>
      <c r="B22" s="457" t="s">
        <v>256</v>
      </c>
      <c r="C22" s="446"/>
      <c r="D22" s="446"/>
      <c r="E22" s="446"/>
      <c r="F22" s="446"/>
      <c r="G22" s="446"/>
      <c r="H22" s="446"/>
      <c r="I22" s="458"/>
    </row>
    <row r="23" spans="1:9" ht="15.75" thickBot="1" x14ac:dyDescent="0.3">
      <c r="A23" s="459" t="s">
        <v>4</v>
      </c>
      <c r="B23" s="460" t="s">
        <v>253</v>
      </c>
      <c r="C23" s="452"/>
      <c r="D23" s="452"/>
      <c r="E23" s="452"/>
      <c r="F23" s="452"/>
      <c r="G23" s="452"/>
      <c r="H23" s="452"/>
      <c r="I23" s="461"/>
    </row>
    <row r="24" spans="1:9" ht="15" thickBot="1" x14ac:dyDescent="0.25">
      <c r="A24" s="1596" t="s">
        <v>257</v>
      </c>
      <c r="B24" s="1597"/>
      <c r="C24" s="462"/>
      <c r="D24" s="462"/>
      <c r="E24" s="462"/>
      <c r="F24" s="462"/>
      <c r="G24" s="462"/>
      <c r="H24" s="462"/>
      <c r="I24" s="463"/>
    </row>
    <row r="25" spans="1:9" ht="15.75" thickBot="1" x14ac:dyDescent="0.3">
      <c r="A25" s="1598" t="s">
        <v>258</v>
      </c>
      <c r="B25" s="1599"/>
      <c r="C25" s="464">
        <f>C24+C20</f>
        <v>543830</v>
      </c>
      <c r="D25" s="464">
        <f t="shared" ref="D25:I25" si="1">D24+D20</f>
        <v>35928</v>
      </c>
      <c r="E25" s="464">
        <f t="shared" si="1"/>
        <v>0</v>
      </c>
      <c r="F25" s="464">
        <f t="shared" si="1"/>
        <v>0</v>
      </c>
      <c r="G25" s="464">
        <f t="shared" si="1"/>
        <v>0</v>
      </c>
      <c r="H25" s="464">
        <f t="shared" si="1"/>
        <v>35928</v>
      </c>
      <c r="I25" s="464">
        <f t="shared" si="1"/>
        <v>579758</v>
      </c>
    </row>
  </sheetData>
  <mergeCells count="14">
    <mergeCell ref="A21:B21"/>
    <mergeCell ref="A24:B24"/>
    <mergeCell ref="A25:B25"/>
    <mergeCell ref="G1:I1"/>
    <mergeCell ref="A2:I2"/>
    <mergeCell ref="A4:I4"/>
    <mergeCell ref="B6:H6"/>
    <mergeCell ref="H8:I8"/>
    <mergeCell ref="A9:A10"/>
    <mergeCell ref="B9:B10"/>
    <mergeCell ref="C9:C10"/>
    <mergeCell ref="D9:I9"/>
    <mergeCell ref="A12:B12"/>
    <mergeCell ref="A20:B20"/>
  </mergeCells>
  <pageMargins left="0.75" right="0.75" top="1" bottom="1" header="0.5" footer="0.5"/>
  <pageSetup paperSize="9" scale="98" orientation="landscape" r:id="rId1"/>
  <headerFooter alignWithMargins="0">
    <oddHeader xml:space="preserve">&amp;R12. 2. sz. melléklet
......./2019.(V.30.) Egyek Önk. r.
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30" zoomScaleNormal="130" workbookViewId="0">
      <selection activeCell="I26" sqref="I26"/>
    </sheetView>
  </sheetViews>
  <sheetFormatPr defaultColWidth="9.140625" defaultRowHeight="12.75" x14ac:dyDescent="0.2"/>
  <cols>
    <col min="1" max="1" width="4.7109375" style="419" customWidth="1"/>
    <col min="2" max="2" width="43.5703125" style="419" customWidth="1"/>
    <col min="3" max="3" width="12.85546875" style="419" customWidth="1"/>
    <col min="4" max="4" width="11.7109375" style="419" customWidth="1"/>
    <col min="5" max="5" width="12.140625" style="419" customWidth="1"/>
    <col min="6" max="6" width="9.28515625" style="419" bestFit="1" customWidth="1"/>
    <col min="7" max="7" width="11.28515625" style="419" customWidth="1"/>
    <col min="8" max="8" width="13.42578125" style="419" customWidth="1"/>
    <col min="9" max="9" width="12.7109375" style="419" customWidth="1"/>
    <col min="10" max="13" width="9.140625" style="419"/>
    <col min="14" max="16384" width="9.140625" style="375"/>
  </cols>
  <sheetData>
    <row r="1" spans="1:9" s="375" customFormat="1" ht="15.75" x14ac:dyDescent="0.25">
      <c r="A1" s="419"/>
      <c r="B1" s="419"/>
      <c r="C1" s="419"/>
      <c r="D1" s="419"/>
      <c r="E1" s="419"/>
      <c r="F1" s="419"/>
      <c r="G1" s="1622"/>
      <c r="H1" s="1622"/>
      <c r="I1" s="1622"/>
    </row>
    <row r="2" spans="1:9" s="375" customFormat="1" ht="15.75" x14ac:dyDescent="0.25">
      <c r="A2" s="1591"/>
      <c r="B2" s="1591"/>
      <c r="C2" s="1591"/>
      <c r="D2" s="1591"/>
      <c r="E2" s="1591"/>
      <c r="F2" s="1591"/>
      <c r="G2" s="1591"/>
      <c r="H2" s="1591"/>
      <c r="I2" s="1591"/>
    </row>
    <row r="3" spans="1:9" s="375" customFormat="1" ht="17.25" customHeight="1" x14ac:dyDescent="0.25">
      <c r="A3" s="1623" t="s">
        <v>544</v>
      </c>
      <c r="B3" s="1623"/>
      <c r="C3" s="1623"/>
      <c r="D3" s="1623"/>
      <c r="E3" s="1623"/>
      <c r="F3" s="1623"/>
      <c r="G3" s="1623"/>
      <c r="H3" s="1623"/>
      <c r="I3" s="1623"/>
    </row>
    <row r="4" spans="1:9" s="375" customFormat="1" ht="17.25" customHeight="1" x14ac:dyDescent="0.25">
      <c r="A4" s="435"/>
      <c r="B4" s="435"/>
      <c r="C4" s="435"/>
      <c r="D4" s="435"/>
      <c r="E4" s="435"/>
      <c r="F4" s="435"/>
      <c r="G4" s="435"/>
      <c r="H4" s="435"/>
      <c r="I4" s="435"/>
    </row>
    <row r="5" spans="1:9" s="375" customFormat="1" ht="17.25" customHeight="1" x14ac:dyDescent="0.25">
      <c r="A5" s="435"/>
      <c r="B5" s="1623"/>
      <c r="C5" s="1623"/>
      <c r="D5" s="1623"/>
      <c r="E5" s="1623"/>
      <c r="F5" s="1623"/>
      <c r="G5" s="1623"/>
      <c r="H5" s="1623"/>
      <c r="I5" s="435"/>
    </row>
    <row r="6" spans="1:9" s="375" customFormat="1" ht="13.5" x14ac:dyDescent="0.25">
      <c r="A6" s="419"/>
      <c r="B6" s="1624"/>
      <c r="C6" s="1624"/>
      <c r="D6" s="1624"/>
      <c r="E6" s="1624"/>
      <c r="F6" s="1624"/>
      <c r="G6" s="1624"/>
      <c r="H6" s="1624"/>
      <c r="I6" s="419"/>
    </row>
    <row r="7" spans="1:9" s="375" customFormat="1" ht="13.5" customHeight="1" thickBot="1" x14ac:dyDescent="0.3">
      <c r="A7" s="419"/>
      <c r="B7" s="419"/>
      <c r="C7" s="419"/>
      <c r="D7" s="419"/>
      <c r="E7" s="419"/>
      <c r="F7" s="419"/>
      <c r="G7" s="419"/>
      <c r="H7" s="1625" t="s">
        <v>455</v>
      </c>
      <c r="I7" s="1625"/>
    </row>
    <row r="8" spans="1:9" s="375" customFormat="1" ht="15.75" x14ac:dyDescent="0.2">
      <c r="A8" s="1632" t="s">
        <v>188</v>
      </c>
      <c r="B8" s="1634" t="s">
        <v>245</v>
      </c>
      <c r="C8" s="1617" t="s">
        <v>189</v>
      </c>
      <c r="D8" s="1617" t="s">
        <v>190</v>
      </c>
      <c r="E8" s="1617"/>
      <c r="F8" s="1617"/>
      <c r="G8" s="1617"/>
      <c r="H8" s="1617"/>
      <c r="I8" s="1618"/>
    </row>
    <row r="9" spans="1:9" s="375" customFormat="1" ht="47.25" x14ac:dyDescent="0.2">
      <c r="A9" s="1633"/>
      <c r="B9" s="1635"/>
      <c r="C9" s="1626"/>
      <c r="D9" s="465" t="s">
        <v>191</v>
      </c>
      <c r="E9" s="465" t="s">
        <v>192</v>
      </c>
      <c r="F9" s="465" t="s">
        <v>193</v>
      </c>
      <c r="G9" s="465" t="s">
        <v>194</v>
      </c>
      <c r="H9" s="465" t="s">
        <v>195</v>
      </c>
      <c r="I9" s="466" t="s">
        <v>196</v>
      </c>
    </row>
    <row r="10" spans="1:9" s="375" customFormat="1" ht="13.5" thickBot="1" x14ac:dyDescent="0.25">
      <c r="A10" s="420" t="s">
        <v>0</v>
      </c>
      <c r="B10" s="421" t="s">
        <v>4</v>
      </c>
      <c r="C10" s="421" t="s">
        <v>8</v>
      </c>
      <c r="D10" s="421" t="s">
        <v>2</v>
      </c>
      <c r="E10" s="421" t="s">
        <v>5</v>
      </c>
      <c r="F10" s="421" t="s">
        <v>9</v>
      </c>
      <c r="G10" s="421" t="s">
        <v>3</v>
      </c>
      <c r="H10" s="421" t="s">
        <v>197</v>
      </c>
      <c r="I10" s="422" t="s">
        <v>198</v>
      </c>
    </row>
    <row r="11" spans="1:9" s="375" customFormat="1" ht="16.5" thickBot="1" x14ac:dyDescent="0.3">
      <c r="A11" s="1619" t="s">
        <v>246</v>
      </c>
      <c r="B11" s="1619"/>
      <c r="C11" s="419"/>
      <c r="D11" s="419"/>
      <c r="E11" s="419"/>
      <c r="F11" s="419"/>
      <c r="G11" s="419"/>
      <c r="H11" s="419"/>
      <c r="I11" s="419"/>
    </row>
    <row r="12" spans="1:9" s="375" customFormat="1" ht="15.75" thickBot="1" x14ac:dyDescent="0.3">
      <c r="A12" s="423" t="s">
        <v>0</v>
      </c>
      <c r="B12" s="424" t="s">
        <v>247</v>
      </c>
      <c r="C12" s="412">
        <v>33000</v>
      </c>
      <c r="D12" s="412"/>
      <c r="E12" s="412"/>
      <c r="F12" s="412"/>
      <c r="G12" s="412"/>
      <c r="H12" s="412">
        <f>SUM(D12:G12)</f>
        <v>0</v>
      </c>
      <c r="I12" s="413">
        <f>SUM(C12+H12)</f>
        <v>33000</v>
      </c>
    </row>
    <row r="13" spans="1:9" s="375" customFormat="1" ht="15.75" thickBot="1" x14ac:dyDescent="0.3">
      <c r="A13" s="425" t="s">
        <v>4</v>
      </c>
      <c r="B13" s="426" t="s">
        <v>248</v>
      </c>
      <c r="C13" s="414"/>
      <c r="D13" s="414"/>
      <c r="E13" s="414"/>
      <c r="F13" s="414"/>
      <c r="G13" s="414"/>
      <c r="H13" s="412">
        <f t="shared" ref="H13:H18" si="0">SUM(D13:G13)</f>
        <v>0</v>
      </c>
      <c r="I13" s="413">
        <f t="shared" ref="I13:I18" si="1">SUM(C13+H13)</f>
        <v>0</v>
      </c>
    </row>
    <row r="14" spans="1:9" s="375" customFormat="1" ht="15.75" thickBot="1" x14ac:dyDescent="0.3">
      <c r="A14" s="425" t="s">
        <v>8</v>
      </c>
      <c r="B14" s="426" t="s">
        <v>249</v>
      </c>
      <c r="C14" s="414"/>
      <c r="D14" s="414"/>
      <c r="E14" s="414"/>
      <c r="F14" s="414"/>
      <c r="G14" s="414"/>
      <c r="H14" s="412">
        <f t="shared" si="0"/>
        <v>0</v>
      </c>
      <c r="I14" s="413">
        <f t="shared" si="1"/>
        <v>0</v>
      </c>
    </row>
    <row r="15" spans="1:9" s="375" customFormat="1" ht="15.75" thickBot="1" x14ac:dyDescent="0.3">
      <c r="A15" s="425" t="s">
        <v>2</v>
      </c>
      <c r="B15" s="426" t="s">
        <v>250</v>
      </c>
      <c r="C15" s="414"/>
      <c r="D15" s="414"/>
      <c r="E15" s="414"/>
      <c r="F15" s="414"/>
      <c r="G15" s="414"/>
      <c r="H15" s="412">
        <f t="shared" si="0"/>
        <v>0</v>
      </c>
      <c r="I15" s="413">
        <f t="shared" si="1"/>
        <v>0</v>
      </c>
    </row>
    <row r="16" spans="1:9" s="375" customFormat="1" ht="15.75" thickBot="1" x14ac:dyDescent="0.3">
      <c r="A16" s="425" t="s">
        <v>5</v>
      </c>
      <c r="B16" s="426" t="s">
        <v>251</v>
      </c>
      <c r="C16" s="427"/>
      <c r="D16" s="427"/>
      <c r="E16" s="427"/>
      <c r="F16" s="427"/>
      <c r="G16" s="427"/>
      <c r="H16" s="412">
        <f t="shared" si="0"/>
        <v>0</v>
      </c>
      <c r="I16" s="413">
        <f t="shared" si="1"/>
        <v>0</v>
      </c>
    </row>
    <row r="17" spans="1:9" s="375" customFormat="1" ht="15.75" thickBot="1" x14ac:dyDescent="0.3">
      <c r="A17" s="425" t="s">
        <v>9</v>
      </c>
      <c r="B17" s="426" t="s">
        <v>252</v>
      </c>
      <c r="C17" s="416">
        <v>207948</v>
      </c>
      <c r="D17" s="416">
        <v>28992</v>
      </c>
      <c r="E17" s="416"/>
      <c r="F17" s="416"/>
      <c r="G17" s="416"/>
      <c r="H17" s="412">
        <f t="shared" si="0"/>
        <v>28992</v>
      </c>
      <c r="I17" s="413">
        <f t="shared" si="1"/>
        <v>236940</v>
      </c>
    </row>
    <row r="18" spans="1:9" s="375" customFormat="1" ht="15.75" thickBot="1" x14ac:dyDescent="0.3">
      <c r="A18" s="467" t="s">
        <v>3</v>
      </c>
      <c r="B18" s="468" t="s">
        <v>253</v>
      </c>
      <c r="C18" s="453"/>
      <c r="D18" s="453"/>
      <c r="E18" s="453"/>
      <c r="F18" s="453"/>
      <c r="G18" s="453"/>
      <c r="H18" s="412">
        <f t="shared" si="0"/>
        <v>0</v>
      </c>
      <c r="I18" s="413">
        <f t="shared" si="1"/>
        <v>0</v>
      </c>
    </row>
    <row r="19" spans="1:9" s="375" customFormat="1" ht="15" thickBot="1" x14ac:dyDescent="0.25">
      <c r="A19" s="1620" t="s">
        <v>254</v>
      </c>
      <c r="B19" s="1621"/>
      <c r="C19" s="454">
        <f>SUM(C12:C18)</f>
        <v>240948</v>
      </c>
      <c r="D19" s="454">
        <f>SUM(D12:D18)</f>
        <v>28992</v>
      </c>
      <c r="E19" s="454">
        <f>E12+E13+E14+E16+E15+E17+E18</f>
        <v>0</v>
      </c>
      <c r="F19" s="454">
        <f>F12+F13+F14+F16+F15+F17+F18</f>
        <v>0</v>
      </c>
      <c r="G19" s="454">
        <f>G12+G13+G14+G16+G15+G17+G18</f>
        <v>0</v>
      </c>
      <c r="H19" s="454">
        <f>SUM(H12:H18)</f>
        <v>28992</v>
      </c>
      <c r="I19" s="455">
        <f>I12+I13+I14+I16+I15+I17+I18</f>
        <v>269940</v>
      </c>
    </row>
    <row r="20" spans="1:9" s="375" customFormat="1" ht="16.5" thickBot="1" x14ac:dyDescent="0.3">
      <c r="A20" s="1627" t="s">
        <v>255</v>
      </c>
      <c r="B20" s="1627"/>
      <c r="C20" s="419"/>
      <c r="D20" s="419"/>
      <c r="E20" s="419"/>
      <c r="F20" s="419"/>
      <c r="G20" s="419"/>
      <c r="H20" s="419"/>
      <c r="I20" s="419"/>
    </row>
    <row r="21" spans="1:9" s="375" customFormat="1" ht="15" x14ac:dyDescent="0.25">
      <c r="A21" s="469" t="s">
        <v>0</v>
      </c>
      <c r="B21" s="470" t="s">
        <v>256</v>
      </c>
      <c r="C21" s="424"/>
      <c r="D21" s="424"/>
      <c r="E21" s="424"/>
      <c r="F21" s="424"/>
      <c r="G21" s="424"/>
      <c r="H21" s="424"/>
      <c r="I21" s="471"/>
    </row>
    <row r="22" spans="1:9" s="375" customFormat="1" ht="15.75" thickBot="1" x14ac:dyDescent="0.3">
      <c r="A22" s="472" t="s">
        <v>4</v>
      </c>
      <c r="B22" s="473" t="s">
        <v>253</v>
      </c>
      <c r="C22" s="468"/>
      <c r="D22" s="468"/>
      <c r="E22" s="468"/>
      <c r="F22" s="468"/>
      <c r="G22" s="468"/>
      <c r="H22" s="468"/>
      <c r="I22" s="474"/>
    </row>
    <row r="23" spans="1:9" s="375" customFormat="1" ht="15" thickBot="1" x14ac:dyDescent="0.25">
      <c r="A23" s="1628" t="s">
        <v>257</v>
      </c>
      <c r="B23" s="1629"/>
      <c r="C23" s="475"/>
      <c r="D23" s="475"/>
      <c r="E23" s="475"/>
      <c r="F23" s="475"/>
      <c r="G23" s="475"/>
      <c r="H23" s="475"/>
      <c r="I23" s="476"/>
    </row>
    <row r="24" spans="1:9" s="375" customFormat="1" ht="15.75" thickBot="1" x14ac:dyDescent="0.3">
      <c r="A24" s="1630" t="s">
        <v>258</v>
      </c>
      <c r="B24" s="1631"/>
      <c r="C24" s="428">
        <f t="shared" ref="C24:I24" si="2">C23+C19</f>
        <v>240948</v>
      </c>
      <c r="D24" s="428">
        <f t="shared" si="2"/>
        <v>28992</v>
      </c>
      <c r="E24" s="428">
        <f t="shared" si="2"/>
        <v>0</v>
      </c>
      <c r="F24" s="428">
        <f t="shared" si="2"/>
        <v>0</v>
      </c>
      <c r="G24" s="428">
        <f t="shared" si="2"/>
        <v>0</v>
      </c>
      <c r="H24" s="428">
        <f t="shared" si="2"/>
        <v>28992</v>
      </c>
      <c r="I24" s="428">
        <f t="shared" si="2"/>
        <v>269940</v>
      </c>
    </row>
  </sheetData>
  <mergeCells count="15">
    <mergeCell ref="A20:B20"/>
    <mergeCell ref="A23:B23"/>
    <mergeCell ref="A24:B24"/>
    <mergeCell ref="A8:A9"/>
    <mergeCell ref="B8:B9"/>
    <mergeCell ref="D8:I8"/>
    <mergeCell ref="A11:B11"/>
    <mergeCell ref="A19:B19"/>
    <mergeCell ref="G1:I1"/>
    <mergeCell ref="A2:I2"/>
    <mergeCell ref="A3:I3"/>
    <mergeCell ref="B5:H5"/>
    <mergeCell ref="B6:H6"/>
    <mergeCell ref="H7:I7"/>
    <mergeCell ref="C8:C9"/>
  </mergeCells>
  <pageMargins left="0.75" right="0.75" top="1" bottom="1" header="0.5" footer="0.5"/>
  <pageSetup paperSize="9" orientation="landscape" r:id="rId1"/>
  <headerFooter alignWithMargins="0">
    <oddHeader xml:space="preserve">&amp;R12. 3. sz. melléklet
......../2019.(V.30.) Egyek Önk. r.
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4" zoomScale="140" zoomScaleNormal="140" workbookViewId="0">
      <selection activeCell="G44" sqref="G44"/>
    </sheetView>
  </sheetViews>
  <sheetFormatPr defaultColWidth="9.140625" defaultRowHeight="12.75" x14ac:dyDescent="0.2"/>
  <cols>
    <col min="1" max="1" width="9.140625" style="1158"/>
    <col min="2" max="2" width="12.28515625" style="1158" customWidth="1"/>
    <col min="3" max="3" width="54.140625" style="1158" customWidth="1"/>
    <col min="4" max="4" width="21.5703125" style="1160" customWidth="1"/>
    <col min="5" max="5" width="20.140625" style="1160" customWidth="1"/>
    <col min="6" max="7" width="9.140625" style="1158"/>
    <col min="8" max="16384" width="9.140625" style="1159"/>
  </cols>
  <sheetData>
    <row r="1" spans="1:7" ht="15.75" x14ac:dyDescent="0.25">
      <c r="B1" s="1636"/>
      <c r="C1" s="1636"/>
      <c r="D1" s="1636"/>
      <c r="E1" s="1636"/>
    </row>
    <row r="2" spans="1:7" ht="24" customHeight="1" x14ac:dyDescent="0.2">
      <c r="A2" s="1637" t="s">
        <v>545</v>
      </c>
      <c r="B2" s="1637"/>
      <c r="C2" s="1637"/>
      <c r="D2" s="1637"/>
      <c r="E2" s="1637"/>
    </row>
    <row r="3" spans="1:7" ht="15.75" x14ac:dyDescent="0.25">
      <c r="C3" s="1638" t="s">
        <v>199</v>
      </c>
      <c r="D3" s="1638"/>
    </row>
    <row r="4" spans="1:7" ht="13.5" thickBot="1" x14ac:dyDescent="0.25">
      <c r="E4" s="1161" t="s">
        <v>200</v>
      </c>
      <c r="F4" s="1161"/>
    </row>
    <row r="5" spans="1:7" ht="27.75" thickBot="1" x14ac:dyDescent="0.3">
      <c r="B5" s="1162" t="s">
        <v>23</v>
      </c>
      <c r="C5" s="1163" t="s">
        <v>22</v>
      </c>
      <c r="D5" s="1164" t="s">
        <v>201</v>
      </c>
      <c r="E5" s="1165" t="s">
        <v>202</v>
      </c>
    </row>
    <row r="6" spans="1:7" ht="13.5" thickBot="1" x14ac:dyDescent="0.25">
      <c r="B6" s="1166">
        <v>1</v>
      </c>
      <c r="C6" s="1167">
        <v>2</v>
      </c>
      <c r="D6" s="1168">
        <v>3</v>
      </c>
      <c r="E6" s="1169">
        <v>4</v>
      </c>
    </row>
    <row r="7" spans="1:7" x14ac:dyDescent="0.2">
      <c r="B7" s="1170" t="s">
        <v>0</v>
      </c>
      <c r="C7" s="1171" t="s">
        <v>203</v>
      </c>
      <c r="D7" s="1172"/>
      <c r="E7" s="1173"/>
    </row>
    <row r="8" spans="1:7" x14ac:dyDescent="0.2">
      <c r="B8" s="1174" t="s">
        <v>4</v>
      </c>
      <c r="C8" s="1175" t="s">
        <v>204</v>
      </c>
      <c r="D8" s="1176"/>
      <c r="E8" s="1177"/>
    </row>
    <row r="9" spans="1:7" x14ac:dyDescent="0.2">
      <c r="B9" s="1174" t="s">
        <v>8</v>
      </c>
      <c r="C9" s="1175" t="s">
        <v>205</v>
      </c>
      <c r="D9" s="1176"/>
      <c r="E9" s="1177"/>
    </row>
    <row r="10" spans="1:7" x14ac:dyDescent="0.2">
      <c r="B10" s="1174" t="s">
        <v>2</v>
      </c>
      <c r="C10" s="1175" t="s">
        <v>206</v>
      </c>
      <c r="D10" s="1176"/>
      <c r="E10" s="1177"/>
    </row>
    <row r="11" spans="1:7" x14ac:dyDescent="0.2">
      <c r="B11" s="1174" t="s">
        <v>5</v>
      </c>
      <c r="C11" s="1175" t="s">
        <v>207</v>
      </c>
      <c r="D11" s="1176"/>
      <c r="E11" s="1177"/>
    </row>
    <row r="12" spans="1:7" x14ac:dyDescent="0.2">
      <c r="B12" s="1174" t="s">
        <v>3</v>
      </c>
      <c r="C12" s="1175" t="s">
        <v>207</v>
      </c>
      <c r="D12" s="1176"/>
      <c r="E12" s="1177"/>
    </row>
    <row r="13" spans="1:7" x14ac:dyDescent="0.2">
      <c r="B13" s="1174" t="s">
        <v>10</v>
      </c>
      <c r="C13" s="1175" t="s">
        <v>207</v>
      </c>
      <c r="D13" s="1176"/>
      <c r="E13" s="1177"/>
    </row>
    <row r="14" spans="1:7" ht="25.5" x14ac:dyDescent="0.2">
      <c r="B14" s="1178" t="s">
        <v>1</v>
      </c>
      <c r="C14" s="1179" t="s">
        <v>208</v>
      </c>
      <c r="D14" s="1180">
        <v>991403</v>
      </c>
      <c r="E14" s="1181">
        <v>991403</v>
      </c>
    </row>
    <row r="15" spans="1:7" s="1186" customFormat="1" ht="25.5" x14ac:dyDescent="0.2">
      <c r="A15" s="1182"/>
      <c r="B15" s="1183" t="s">
        <v>7</v>
      </c>
      <c r="C15" s="1184" t="s">
        <v>501</v>
      </c>
      <c r="D15" s="1185">
        <f>SUM(D16:D17)</f>
        <v>1122000</v>
      </c>
      <c r="E15" s="1185">
        <f>SUM(E16:E17)</f>
        <v>1122000</v>
      </c>
      <c r="F15" s="1182"/>
      <c r="G15" s="1182"/>
    </row>
    <row r="16" spans="1:7" s="1186" customFormat="1" ht="38.25" x14ac:dyDescent="0.2">
      <c r="A16" s="1182"/>
      <c r="B16" s="1195" t="s">
        <v>499</v>
      </c>
      <c r="C16" s="1196" t="s">
        <v>502</v>
      </c>
      <c r="D16" s="1197">
        <v>390000</v>
      </c>
      <c r="E16" s="1198">
        <v>390000</v>
      </c>
      <c r="F16" s="1182"/>
      <c r="G16" s="1182"/>
    </row>
    <row r="17" spans="1:7" s="1186" customFormat="1" ht="38.25" x14ac:dyDescent="0.2">
      <c r="A17" s="1182"/>
      <c r="B17" s="1195" t="s">
        <v>500</v>
      </c>
      <c r="C17" s="1196" t="s">
        <v>503</v>
      </c>
      <c r="D17" s="1197">
        <v>732000</v>
      </c>
      <c r="E17" s="1198">
        <v>732000</v>
      </c>
      <c r="F17" s="1182"/>
      <c r="G17" s="1182"/>
    </row>
    <row r="18" spans="1:7" x14ac:dyDescent="0.2">
      <c r="B18" s="1174" t="s">
        <v>15</v>
      </c>
      <c r="C18" s="1175" t="s">
        <v>209</v>
      </c>
      <c r="D18" s="1176"/>
      <c r="E18" s="1177"/>
    </row>
    <row r="19" spans="1:7" x14ac:dyDescent="0.2">
      <c r="B19" s="1174" t="s">
        <v>13</v>
      </c>
      <c r="C19" s="1175" t="s">
        <v>210</v>
      </c>
      <c r="D19" s="1176"/>
      <c r="E19" s="1177"/>
    </row>
    <row r="20" spans="1:7" s="1187" customFormat="1" x14ac:dyDescent="0.2">
      <c r="A20" s="1158"/>
      <c r="B20" s="1174" t="s">
        <v>25</v>
      </c>
      <c r="C20" s="1175" t="s">
        <v>211</v>
      </c>
      <c r="D20" s="1176"/>
      <c r="E20" s="1177"/>
      <c r="F20" s="1158"/>
      <c r="G20" s="1158"/>
    </row>
    <row r="21" spans="1:7" x14ac:dyDescent="0.2">
      <c r="B21" s="1174" t="s">
        <v>28</v>
      </c>
      <c r="C21" s="1188" t="s">
        <v>212</v>
      </c>
      <c r="D21" s="1180">
        <f>SUM(D22:D25)</f>
        <v>1811090</v>
      </c>
      <c r="E21" s="1180">
        <f>SUM(E22:E25)</f>
        <v>1811090</v>
      </c>
    </row>
    <row r="22" spans="1:7" ht="29.25" customHeight="1" x14ac:dyDescent="0.2">
      <c r="B22" s="1174" t="s">
        <v>213</v>
      </c>
      <c r="C22" s="1189" t="s">
        <v>214</v>
      </c>
      <c r="D22" s="1176">
        <v>7000</v>
      </c>
      <c r="E22" s="1177">
        <v>7000</v>
      </c>
    </row>
    <row r="23" spans="1:7" ht="25.5" x14ac:dyDescent="0.2">
      <c r="B23" s="1174" t="s">
        <v>213</v>
      </c>
      <c r="C23" s="1189" t="s">
        <v>215</v>
      </c>
      <c r="D23" s="1176">
        <v>1744593</v>
      </c>
      <c r="E23" s="1177">
        <v>1744593</v>
      </c>
    </row>
    <row r="24" spans="1:7" ht="38.25" x14ac:dyDescent="0.2">
      <c r="B24" s="1174" t="s">
        <v>216</v>
      </c>
      <c r="C24" s="1189" t="s">
        <v>217</v>
      </c>
      <c r="D24" s="1176">
        <v>28000</v>
      </c>
      <c r="E24" s="1177">
        <v>28000</v>
      </c>
    </row>
    <row r="25" spans="1:7" ht="38.25" x14ac:dyDescent="0.2">
      <c r="B25" s="1174" t="s">
        <v>26</v>
      </c>
      <c r="C25" s="1189" t="s">
        <v>218</v>
      </c>
      <c r="D25" s="1176">
        <v>31497</v>
      </c>
      <c r="E25" s="1177">
        <v>31497</v>
      </c>
    </row>
    <row r="26" spans="1:7" x14ac:dyDescent="0.2">
      <c r="B26" s="1178" t="s">
        <v>27</v>
      </c>
      <c r="C26" s="1188" t="s">
        <v>219</v>
      </c>
      <c r="D26" s="1180">
        <f>SUM(D27:D28)</f>
        <v>5930640</v>
      </c>
      <c r="E26" s="1180">
        <f>SUM(E27:E28)</f>
        <v>5930640</v>
      </c>
    </row>
    <row r="27" spans="1:7" ht="25.5" x14ac:dyDescent="0.2">
      <c r="B27" s="1174" t="s">
        <v>29</v>
      </c>
      <c r="C27" s="1189" t="s">
        <v>583</v>
      </c>
      <c r="D27" s="1176">
        <v>5052600</v>
      </c>
      <c r="E27" s="1177">
        <v>5052600</v>
      </c>
    </row>
    <row r="28" spans="1:7" ht="25.5" x14ac:dyDescent="0.2">
      <c r="B28" s="1174" t="s">
        <v>30</v>
      </c>
      <c r="C28" s="1189" t="s">
        <v>584</v>
      </c>
      <c r="D28" s="1176">
        <v>878040</v>
      </c>
      <c r="E28" s="1176">
        <v>878040</v>
      </c>
    </row>
    <row r="29" spans="1:7" x14ac:dyDescent="0.2">
      <c r="B29" s="1174" t="s">
        <v>31</v>
      </c>
      <c r="C29" s="1175"/>
      <c r="D29" s="1176"/>
      <c r="E29" s="1177"/>
    </row>
    <row r="30" spans="1:7" x14ac:dyDescent="0.2">
      <c r="B30" s="1174" t="s">
        <v>12</v>
      </c>
      <c r="C30" s="1175"/>
      <c r="D30" s="1176"/>
      <c r="E30" s="1177"/>
    </row>
    <row r="31" spans="1:7" x14ac:dyDescent="0.2">
      <c r="B31" s="1174" t="s">
        <v>32</v>
      </c>
      <c r="C31" s="1175"/>
      <c r="D31" s="1176"/>
      <c r="E31" s="1177"/>
    </row>
    <row r="32" spans="1:7" x14ac:dyDescent="0.2">
      <c r="B32" s="1174" t="s">
        <v>33</v>
      </c>
      <c r="C32" s="1175"/>
      <c r="D32" s="1176"/>
      <c r="E32" s="1177"/>
    </row>
    <row r="33" spans="1:7" s="1194" customFormat="1" ht="14.25" thickBot="1" x14ac:dyDescent="0.3">
      <c r="A33" s="1190"/>
      <c r="B33" s="1191" t="s">
        <v>34</v>
      </c>
      <c r="C33" s="1192" t="s">
        <v>11</v>
      </c>
      <c r="D33" s="1193">
        <f>D7+D8+D9+D10+D12+D11+D13+D14+D15+D21+D26</f>
        <v>9855133</v>
      </c>
      <c r="E33" s="1193">
        <f>E7+E8+E9+E10+E12+E11+E13+E14+E15+E21+E26</f>
        <v>9855133</v>
      </c>
      <c r="F33" s="1190"/>
      <c r="G33" s="1190"/>
    </row>
    <row r="34" spans="1:7" x14ac:dyDescent="0.2">
      <c r="B34" s="1158" t="s">
        <v>220</v>
      </c>
      <c r="C34" s="1158" t="s">
        <v>221</v>
      </c>
    </row>
  </sheetData>
  <mergeCells count="3">
    <mergeCell ref="B1:E1"/>
    <mergeCell ref="A2:E2"/>
    <mergeCell ref="C3:D3"/>
  </mergeCells>
  <pageMargins left="0.39" right="0.75" top="1" bottom="1" header="0.5" footer="0.5"/>
  <pageSetup paperSize="9" scale="78" orientation="portrait" r:id="rId1"/>
  <headerFooter alignWithMargins="0">
    <oddHeader xml:space="preserve">&amp;R13. sz. melléklet
......./2019.(V.30.) Egyek Önk. r.
</oddHeader>
  </headerFooter>
  <colBreaks count="1" manualBreakCount="1">
    <brk id="5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56"/>
  <sheetViews>
    <sheetView zoomScale="120" zoomScaleNormal="120" workbookViewId="0">
      <selection activeCell="G21" sqref="G21:H21"/>
    </sheetView>
  </sheetViews>
  <sheetFormatPr defaultColWidth="9.140625" defaultRowHeight="12.75" x14ac:dyDescent="0.2"/>
  <cols>
    <col min="1" max="1" width="9.140625" style="429"/>
    <col min="2" max="2" width="13.7109375" style="429" bestFit="1" customWidth="1"/>
    <col min="3" max="3" width="11.5703125" style="429" customWidth="1"/>
    <col min="4" max="4" width="10.140625" style="429" customWidth="1"/>
    <col min="5" max="5" width="9.140625" style="429"/>
    <col min="6" max="6" width="10.28515625" style="429" customWidth="1"/>
    <col min="7" max="7" width="14.7109375" style="429" customWidth="1"/>
    <col min="8" max="8" width="13.85546875" style="429" bestFit="1" customWidth="1"/>
    <col min="9" max="9" width="15.28515625" style="429" customWidth="1"/>
    <col min="10" max="10" width="9.140625" style="429"/>
    <col min="11" max="11" width="15.140625" style="429" bestFit="1" customWidth="1"/>
    <col min="12" max="16384" width="9.140625" style="429"/>
  </cols>
  <sheetData>
    <row r="4" spans="2:9" ht="15.75" x14ac:dyDescent="0.25">
      <c r="B4" s="1663"/>
      <c r="C4" s="1663"/>
      <c r="D4" s="1663"/>
      <c r="E4" s="1663"/>
      <c r="F4" s="1663"/>
      <c r="G4" s="1663"/>
      <c r="H4" s="1663"/>
    </row>
    <row r="6" spans="2:9" x14ac:dyDescent="0.2">
      <c r="B6" s="1664" t="s">
        <v>551</v>
      </c>
      <c r="C6" s="1664"/>
      <c r="D6" s="1664"/>
      <c r="E6" s="1664"/>
      <c r="F6" s="1664"/>
      <c r="G6" s="1664"/>
      <c r="H6" s="1664"/>
    </row>
    <row r="8" spans="2:9" ht="13.5" thickBot="1" x14ac:dyDescent="0.25">
      <c r="G8" s="1665" t="s">
        <v>184</v>
      </c>
      <c r="H8" s="1665"/>
    </row>
    <row r="9" spans="2:9" ht="13.5" thickBot="1" x14ac:dyDescent="0.25">
      <c r="B9" s="1666" t="s">
        <v>180</v>
      </c>
      <c r="C9" s="1666"/>
      <c r="D9" s="1666"/>
      <c r="E9" s="1666"/>
      <c r="F9" s="1666"/>
      <c r="G9" s="1667" t="s">
        <v>222</v>
      </c>
      <c r="H9" s="1667"/>
    </row>
    <row r="10" spans="2:9" x14ac:dyDescent="0.2">
      <c r="B10" s="1661" t="s">
        <v>550</v>
      </c>
      <c r="C10" s="1661"/>
      <c r="D10" s="1661"/>
      <c r="E10" s="1661"/>
      <c r="F10" s="1661"/>
      <c r="G10" s="1662">
        <f>SUM(G11+G12)</f>
        <v>152562170</v>
      </c>
      <c r="H10" s="1662"/>
    </row>
    <row r="11" spans="2:9" x14ac:dyDescent="0.2">
      <c r="B11" s="1644" t="s">
        <v>223</v>
      </c>
      <c r="C11" s="1644"/>
      <c r="D11" s="1644"/>
      <c r="E11" s="1644"/>
      <c r="F11" s="1644"/>
      <c r="G11" s="1645">
        <v>152562170</v>
      </c>
      <c r="H11" s="1645"/>
    </row>
    <row r="12" spans="2:9" x14ac:dyDescent="0.2">
      <c r="B12" s="1644" t="s">
        <v>224</v>
      </c>
      <c r="C12" s="1644"/>
      <c r="D12" s="1644"/>
      <c r="E12" s="1644"/>
      <c r="F12" s="1644"/>
      <c r="G12" s="1645">
        <v>0</v>
      </c>
      <c r="H12" s="1645"/>
    </row>
    <row r="13" spans="2:9" x14ac:dyDescent="0.2">
      <c r="B13" s="1656" t="s">
        <v>552</v>
      </c>
      <c r="C13" s="1657"/>
      <c r="D13" s="1657"/>
      <c r="E13" s="1657"/>
      <c r="F13" s="1658"/>
      <c r="G13" s="1659">
        <v>0</v>
      </c>
      <c r="H13" s="1660"/>
    </row>
    <row r="14" spans="2:9" s="431" customFormat="1" x14ac:dyDescent="0.2">
      <c r="B14" s="1646" t="s">
        <v>225</v>
      </c>
      <c r="C14" s="1646"/>
      <c r="D14" s="1646"/>
      <c r="E14" s="1646"/>
      <c r="F14" s="1646"/>
      <c r="G14" s="1647">
        <f>SUM(G16+G15+G17)</f>
        <v>1977987783</v>
      </c>
      <c r="H14" s="1647"/>
      <c r="I14" s="430"/>
    </row>
    <row r="15" spans="2:9" x14ac:dyDescent="0.2">
      <c r="B15" s="1644" t="s">
        <v>465</v>
      </c>
      <c r="C15" s="1644"/>
      <c r="D15" s="1644"/>
      <c r="E15" s="1644"/>
      <c r="F15" s="1644"/>
      <c r="G15" s="1645">
        <v>1925389767</v>
      </c>
      <c r="H15" s="1645"/>
      <c r="I15" s="430"/>
    </row>
    <row r="16" spans="2:9" x14ac:dyDescent="0.2">
      <c r="B16" s="1648" t="s">
        <v>464</v>
      </c>
      <c r="C16" s="1649"/>
      <c r="D16" s="1649"/>
      <c r="E16" s="1649"/>
      <c r="F16" s="1650"/>
      <c r="G16" s="1642">
        <v>52598016</v>
      </c>
      <c r="H16" s="1642"/>
      <c r="I16" s="430"/>
    </row>
    <row r="17" spans="2:11" x14ac:dyDescent="0.2">
      <c r="B17" s="1651"/>
      <c r="C17" s="1652"/>
      <c r="D17" s="1652"/>
      <c r="E17" s="1652"/>
      <c r="F17" s="1653"/>
      <c r="G17" s="1654"/>
      <c r="H17" s="1655"/>
      <c r="I17" s="430"/>
      <c r="K17" s="432"/>
    </row>
    <row r="18" spans="2:11" s="431" customFormat="1" x14ac:dyDescent="0.2">
      <c r="B18" s="1646" t="s">
        <v>226</v>
      </c>
      <c r="C18" s="1646"/>
      <c r="D18" s="1646"/>
      <c r="E18" s="1646"/>
      <c r="F18" s="1646"/>
      <c r="G18" s="1647">
        <f>SUM(G19:H20)</f>
        <v>1913405480</v>
      </c>
      <c r="H18" s="1647"/>
      <c r="I18" s="430"/>
    </row>
    <row r="19" spans="2:11" x14ac:dyDescent="0.2">
      <c r="B19" s="1644" t="s">
        <v>314</v>
      </c>
      <c r="C19" s="1644"/>
      <c r="D19" s="1644"/>
      <c r="E19" s="1644"/>
      <c r="F19" s="1644"/>
      <c r="G19" s="1645">
        <v>1035165157</v>
      </c>
      <c r="H19" s="1645"/>
      <c r="I19" s="430"/>
    </row>
    <row r="20" spans="2:11" x14ac:dyDescent="0.2">
      <c r="B20" s="1644" t="s">
        <v>463</v>
      </c>
      <c r="C20" s="1644"/>
      <c r="D20" s="1644"/>
      <c r="E20" s="1644"/>
      <c r="F20" s="1644"/>
      <c r="G20" s="1642">
        <v>878240323</v>
      </c>
      <c r="H20" s="1642"/>
    </row>
    <row r="21" spans="2:11" x14ac:dyDescent="0.2">
      <c r="B21" s="1646" t="s">
        <v>227</v>
      </c>
      <c r="C21" s="1646"/>
      <c r="D21" s="1646"/>
      <c r="E21" s="1646"/>
      <c r="F21" s="1646"/>
      <c r="G21" s="1647">
        <f>SUM(G10+G13+G14-G18)</f>
        <v>217144473</v>
      </c>
      <c r="H21" s="1647"/>
      <c r="I21" s="432"/>
      <c r="K21" s="432"/>
    </row>
    <row r="22" spans="2:11" x14ac:dyDescent="0.2">
      <c r="B22" s="1639" t="s">
        <v>601</v>
      </c>
      <c r="C22" s="1640"/>
      <c r="D22" s="1640"/>
      <c r="E22" s="1640"/>
      <c r="F22" s="1641"/>
      <c r="G22" s="1642">
        <v>51855000</v>
      </c>
      <c r="H22" s="1642"/>
      <c r="I22" s="432"/>
    </row>
    <row r="23" spans="2:11" s="431" customFormat="1" ht="13.5" thickBot="1" x14ac:dyDescent="0.25">
      <c r="B23" s="1639" t="s">
        <v>602</v>
      </c>
      <c r="C23" s="1640"/>
      <c r="D23" s="1640"/>
      <c r="E23" s="1640"/>
      <c r="F23" s="1641"/>
      <c r="G23" s="1643">
        <v>165289473</v>
      </c>
      <c r="H23" s="1643"/>
      <c r="I23" s="1369"/>
    </row>
    <row r="24" spans="2:11" x14ac:dyDescent="0.2">
      <c r="G24" s="432"/>
      <c r="I24" s="432"/>
    </row>
    <row r="25" spans="2:11" x14ac:dyDescent="0.2">
      <c r="G25" s="432"/>
    </row>
    <row r="27" spans="2:11" x14ac:dyDescent="0.2">
      <c r="G27" s="432"/>
    </row>
    <row r="28" spans="2:11" x14ac:dyDescent="0.2">
      <c r="G28" s="555"/>
    </row>
    <row r="29" spans="2:11" x14ac:dyDescent="0.2">
      <c r="G29" s="432"/>
    </row>
    <row r="34" spans="1:8" x14ac:dyDescent="0.2">
      <c r="A34" s="831"/>
      <c r="B34" s="830"/>
      <c r="C34" s="830"/>
      <c r="E34" s="831"/>
      <c r="F34" s="555"/>
      <c r="G34" s="555"/>
      <c r="H34" s="555">
        <f>SUM(G34-F34)</f>
        <v>0</v>
      </c>
    </row>
    <row r="35" spans="1:8" x14ac:dyDescent="0.2">
      <c r="B35" s="830"/>
      <c r="C35" s="830"/>
      <c r="F35" s="555"/>
      <c r="G35" s="555"/>
      <c r="H35" s="555">
        <f>SUM(G35-F35)</f>
        <v>0</v>
      </c>
    </row>
    <row r="36" spans="1:8" x14ac:dyDescent="0.2">
      <c r="B36" s="830"/>
      <c r="C36" s="830"/>
      <c r="F36" s="555"/>
      <c r="G36" s="555"/>
      <c r="H36" s="833">
        <f>SUM(H34:H35)</f>
        <v>0</v>
      </c>
    </row>
    <row r="37" spans="1:8" x14ac:dyDescent="0.2">
      <c r="B37" s="830"/>
      <c r="C37" s="830"/>
      <c r="F37" s="555"/>
      <c r="G37" s="555"/>
      <c r="H37" s="555"/>
    </row>
    <row r="38" spans="1:8" x14ac:dyDescent="0.2">
      <c r="B38" s="830"/>
      <c r="C38" s="830"/>
      <c r="E38" s="831"/>
      <c r="F38" s="555"/>
      <c r="G38" s="555"/>
      <c r="H38" s="555"/>
    </row>
    <row r="39" spans="1:8" x14ac:dyDescent="0.2">
      <c r="B39" s="830"/>
      <c r="C39" s="830"/>
      <c r="F39" s="555"/>
      <c r="G39" s="555"/>
      <c r="H39" s="555"/>
    </row>
    <row r="40" spans="1:8" x14ac:dyDescent="0.2">
      <c r="B40" s="830"/>
      <c r="C40" s="830"/>
      <c r="F40" s="555"/>
      <c r="G40" s="555"/>
      <c r="H40" s="555"/>
    </row>
    <row r="41" spans="1:8" x14ac:dyDescent="0.2">
      <c r="B41" s="830"/>
      <c r="C41" s="830"/>
      <c r="F41" s="555"/>
      <c r="G41" s="555"/>
      <c r="H41" s="555"/>
    </row>
    <row r="42" spans="1:8" x14ac:dyDescent="0.2">
      <c r="B42" s="830"/>
      <c r="C42" s="830"/>
      <c r="F42" s="555"/>
      <c r="G42" s="555"/>
      <c r="H42" s="833">
        <f>SUM(G42-F42)</f>
        <v>0</v>
      </c>
    </row>
    <row r="43" spans="1:8" x14ac:dyDescent="0.2">
      <c r="B43" s="830"/>
      <c r="C43" s="830"/>
      <c r="F43" s="555"/>
      <c r="G43" s="555"/>
      <c r="H43" s="555"/>
    </row>
    <row r="44" spans="1:8" x14ac:dyDescent="0.2">
      <c r="B44" s="830"/>
      <c r="C44" s="830"/>
      <c r="D44" s="832"/>
      <c r="F44" s="555"/>
      <c r="G44" s="555"/>
      <c r="H44" s="555"/>
    </row>
    <row r="45" spans="1:8" x14ac:dyDescent="0.2">
      <c r="D45" s="831"/>
      <c r="F45" s="555"/>
      <c r="G45" s="555"/>
      <c r="H45" s="555"/>
    </row>
    <row r="46" spans="1:8" x14ac:dyDescent="0.2">
      <c r="A46" s="831"/>
      <c r="B46" s="555"/>
      <c r="C46" s="555"/>
      <c r="D46" s="832"/>
      <c r="F46" s="555"/>
      <c r="G46" s="555"/>
      <c r="H46" s="555"/>
    </row>
    <row r="47" spans="1:8" x14ac:dyDescent="0.2">
      <c r="B47" s="555"/>
      <c r="C47" s="555"/>
      <c r="D47" s="833"/>
      <c r="F47" s="555"/>
      <c r="G47" s="555"/>
      <c r="H47" s="555"/>
    </row>
    <row r="48" spans="1:8" x14ac:dyDescent="0.2">
      <c r="B48" s="555"/>
      <c r="C48" s="555"/>
      <c r="D48" s="833"/>
      <c r="F48" s="555"/>
      <c r="G48" s="555"/>
      <c r="H48" s="555"/>
    </row>
    <row r="49" spans="2:8" x14ac:dyDescent="0.2">
      <c r="B49" s="555"/>
      <c r="C49" s="555"/>
      <c r="D49" s="833"/>
      <c r="F49" s="555"/>
      <c r="G49" s="555"/>
      <c r="H49" s="555"/>
    </row>
    <row r="50" spans="2:8" x14ac:dyDescent="0.2">
      <c r="B50" s="555"/>
      <c r="C50" s="555"/>
      <c r="D50" s="833"/>
    </row>
    <row r="51" spans="2:8" x14ac:dyDescent="0.2">
      <c r="B51" s="555"/>
      <c r="C51" s="555"/>
      <c r="D51" s="833"/>
    </row>
    <row r="52" spans="2:8" x14ac:dyDescent="0.2">
      <c r="B52" s="555"/>
      <c r="C52" s="555"/>
      <c r="D52" s="833"/>
    </row>
    <row r="53" spans="2:8" x14ac:dyDescent="0.2">
      <c r="B53" s="555"/>
      <c r="C53" s="555"/>
      <c r="D53" s="833"/>
    </row>
    <row r="54" spans="2:8" x14ac:dyDescent="0.2">
      <c r="B54" s="555"/>
      <c r="C54" s="555"/>
      <c r="D54" s="833"/>
    </row>
    <row r="55" spans="2:8" x14ac:dyDescent="0.2">
      <c r="B55" s="555"/>
      <c r="C55" s="555"/>
      <c r="D55" s="833"/>
    </row>
    <row r="56" spans="2:8" x14ac:dyDescent="0.2">
      <c r="B56" s="555"/>
      <c r="C56" s="555"/>
      <c r="D56" s="833"/>
    </row>
  </sheetData>
  <mergeCells count="33">
    <mergeCell ref="B10:F10"/>
    <mergeCell ref="G10:H10"/>
    <mergeCell ref="B4:H4"/>
    <mergeCell ref="B6:H6"/>
    <mergeCell ref="G8:H8"/>
    <mergeCell ref="B9:F9"/>
    <mergeCell ref="G9:H9"/>
    <mergeCell ref="B15:F15"/>
    <mergeCell ref="G15:H15"/>
    <mergeCell ref="B11:F11"/>
    <mergeCell ref="B13:F13"/>
    <mergeCell ref="G13:H13"/>
    <mergeCell ref="G11:H11"/>
    <mergeCell ref="B12:F12"/>
    <mergeCell ref="G12:H12"/>
    <mergeCell ref="B14:F14"/>
    <mergeCell ref="G14:H14"/>
    <mergeCell ref="B16:F16"/>
    <mergeCell ref="G16:H16"/>
    <mergeCell ref="B18:F18"/>
    <mergeCell ref="G18:H18"/>
    <mergeCell ref="B17:F17"/>
    <mergeCell ref="G17:H17"/>
    <mergeCell ref="B22:F22"/>
    <mergeCell ref="G22:H22"/>
    <mergeCell ref="B23:F23"/>
    <mergeCell ref="G23:H23"/>
    <mergeCell ref="B19:F19"/>
    <mergeCell ref="G19:H19"/>
    <mergeCell ref="B20:F20"/>
    <mergeCell ref="G20:H20"/>
    <mergeCell ref="B21:F21"/>
    <mergeCell ref="G21:H21"/>
  </mergeCells>
  <pageMargins left="0.75" right="0.75" top="1" bottom="1" header="0.5" footer="0.51180555555555562"/>
  <pageSetup paperSize="9" scale="95" firstPageNumber="0" orientation="portrait" horizontalDpi="300" verticalDpi="300" r:id="rId1"/>
  <headerFooter alignWithMargins="0">
    <oddHeader>&amp;R14.1.sz. melléklet
....../2019.(V.30.) Egyek Önk. r.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7"/>
  <sheetViews>
    <sheetView zoomScaleNormal="100" workbookViewId="0">
      <selection activeCell="G16" sqref="G16:H16"/>
    </sheetView>
  </sheetViews>
  <sheetFormatPr defaultColWidth="9.140625" defaultRowHeight="12.75" x14ac:dyDescent="0.2"/>
  <cols>
    <col min="1" max="6" width="9.140625" style="429"/>
    <col min="7" max="7" width="12.5703125" style="429" customWidth="1"/>
    <col min="8" max="8" width="9.140625" style="429"/>
    <col min="9" max="9" width="15.28515625" style="429" customWidth="1"/>
    <col min="10" max="16384" width="9.140625" style="429"/>
  </cols>
  <sheetData>
    <row r="4" spans="2:9" ht="15.75" x14ac:dyDescent="0.25">
      <c r="B4" s="1663"/>
      <c r="C4" s="1663"/>
      <c r="D4" s="1663"/>
      <c r="E4" s="1663"/>
      <c r="F4" s="1663"/>
      <c r="G4" s="1663"/>
      <c r="H4" s="1663"/>
    </row>
    <row r="6" spans="2:9" x14ac:dyDescent="0.2">
      <c r="B6" s="1679" t="s">
        <v>553</v>
      </c>
      <c r="C6" s="1679"/>
      <c r="D6" s="1679"/>
      <c r="E6" s="1679"/>
      <c r="F6" s="1679"/>
      <c r="G6" s="1679"/>
      <c r="H6" s="1679"/>
    </row>
    <row r="8" spans="2:9" ht="13.5" thickBot="1" x14ac:dyDescent="0.25">
      <c r="G8" s="1665" t="s">
        <v>184</v>
      </c>
      <c r="H8" s="1665"/>
    </row>
    <row r="9" spans="2:9" ht="13.5" thickBot="1" x14ac:dyDescent="0.25">
      <c r="B9" s="1666" t="s">
        <v>180</v>
      </c>
      <c r="C9" s="1666"/>
      <c r="D9" s="1666"/>
      <c r="E9" s="1666"/>
      <c r="F9" s="1666"/>
      <c r="G9" s="1667" t="s">
        <v>222</v>
      </c>
      <c r="H9" s="1667"/>
    </row>
    <row r="10" spans="2:9" x14ac:dyDescent="0.2">
      <c r="B10" s="1678" t="s">
        <v>550</v>
      </c>
      <c r="C10" s="1678"/>
      <c r="D10" s="1678"/>
      <c r="E10" s="1678"/>
      <c r="F10" s="1678"/>
      <c r="G10" s="1662">
        <f>SUM(G11+G12)</f>
        <v>0</v>
      </c>
      <c r="H10" s="1662"/>
    </row>
    <row r="11" spans="2:9" x14ac:dyDescent="0.2">
      <c r="B11" s="1669" t="s">
        <v>223</v>
      </c>
      <c r="C11" s="1669"/>
      <c r="D11" s="1669"/>
      <c r="E11" s="1669"/>
      <c r="F11" s="1669"/>
      <c r="G11" s="1642">
        <v>0</v>
      </c>
      <c r="H11" s="1642"/>
    </row>
    <row r="12" spans="2:9" x14ac:dyDescent="0.2">
      <c r="B12" s="1669" t="s">
        <v>224</v>
      </c>
      <c r="C12" s="1669"/>
      <c r="D12" s="1669"/>
      <c r="E12" s="1669"/>
      <c r="F12" s="1669"/>
      <c r="G12" s="1642">
        <v>0</v>
      </c>
      <c r="H12" s="1642"/>
    </row>
    <row r="13" spans="2:9" x14ac:dyDescent="0.2">
      <c r="B13" s="1675" t="s">
        <v>557</v>
      </c>
      <c r="C13" s="1676"/>
      <c r="D13" s="1676"/>
      <c r="E13" s="1676"/>
      <c r="F13" s="1677"/>
      <c r="G13" s="1659">
        <v>125065</v>
      </c>
      <c r="H13" s="1660"/>
    </row>
    <row r="14" spans="2:9" s="431" customFormat="1" x14ac:dyDescent="0.2">
      <c r="B14" s="1668" t="s">
        <v>225</v>
      </c>
      <c r="C14" s="1668"/>
      <c r="D14" s="1668"/>
      <c r="E14" s="1668"/>
      <c r="F14" s="1668"/>
      <c r="G14" s="1647">
        <f>SUM(G15+G16)</f>
        <v>120930829</v>
      </c>
      <c r="H14" s="1647"/>
      <c r="I14" s="430"/>
    </row>
    <row r="15" spans="2:9" ht="31.5" customHeight="1" x14ac:dyDescent="0.2">
      <c r="B15" s="1672" t="s">
        <v>454</v>
      </c>
      <c r="C15" s="1673"/>
      <c r="D15" s="1673"/>
      <c r="E15" s="1673"/>
      <c r="F15" s="1674"/>
      <c r="G15" s="1671">
        <f>5300774+115630055</f>
        <v>120930829</v>
      </c>
      <c r="H15" s="1671"/>
      <c r="I15" s="430"/>
    </row>
    <row r="16" spans="2:9" x14ac:dyDescent="0.2">
      <c r="B16" s="1669"/>
      <c r="C16" s="1669"/>
      <c r="D16" s="1669"/>
      <c r="E16" s="1669"/>
      <c r="F16" s="1669"/>
      <c r="G16" s="1642"/>
      <c r="H16" s="1642"/>
      <c r="I16" s="430"/>
    </row>
    <row r="17" spans="2:9" s="431" customFormat="1" x14ac:dyDescent="0.2">
      <c r="B17" s="1668" t="s">
        <v>226</v>
      </c>
      <c r="C17" s="1668"/>
      <c r="D17" s="1668"/>
      <c r="E17" s="1668"/>
      <c r="F17" s="1668"/>
      <c r="G17" s="1647">
        <f>SUM(G19+G18)</f>
        <v>121055894</v>
      </c>
      <c r="H17" s="1647"/>
      <c r="I17" s="430"/>
    </row>
    <row r="18" spans="2:9" x14ac:dyDescent="0.2">
      <c r="B18" s="1669" t="s">
        <v>315</v>
      </c>
      <c r="C18" s="1669"/>
      <c r="D18" s="1669"/>
      <c r="E18" s="1669"/>
      <c r="F18" s="1669"/>
      <c r="G18" s="1671">
        <v>120930829</v>
      </c>
      <c r="H18" s="1671"/>
      <c r="I18" s="430"/>
    </row>
    <row r="19" spans="2:9" x14ac:dyDescent="0.2">
      <c r="B19" s="1672" t="s">
        <v>463</v>
      </c>
      <c r="C19" s="1673"/>
      <c r="D19" s="1673"/>
      <c r="E19" s="1673"/>
      <c r="F19" s="1674"/>
      <c r="G19" s="1671">
        <v>125065</v>
      </c>
      <c r="H19" s="1671"/>
      <c r="I19" s="432"/>
    </row>
    <row r="20" spans="2:9" ht="19.899999999999999" customHeight="1" x14ac:dyDescent="0.2">
      <c r="B20" s="1668" t="s">
        <v>227</v>
      </c>
      <c r="C20" s="1668"/>
      <c r="D20" s="1668"/>
      <c r="E20" s="1668"/>
      <c r="F20" s="1668"/>
      <c r="G20" s="1647">
        <f>G14-G17+G13</f>
        <v>0</v>
      </c>
      <c r="H20" s="1647"/>
      <c r="I20" s="432"/>
    </row>
    <row r="21" spans="2:9" x14ac:dyDescent="0.2">
      <c r="B21" s="1669" t="s">
        <v>223</v>
      </c>
      <c r="C21" s="1669"/>
      <c r="D21" s="1669"/>
      <c r="E21" s="1669"/>
      <c r="F21" s="1669"/>
      <c r="G21" s="1642">
        <v>0</v>
      </c>
      <c r="H21" s="1642"/>
    </row>
    <row r="22" spans="2:9" s="431" customFormat="1" ht="13.5" thickBot="1" x14ac:dyDescent="0.25">
      <c r="B22" s="1670" t="s">
        <v>224</v>
      </c>
      <c r="C22" s="1670"/>
      <c r="D22" s="1670"/>
      <c r="E22" s="1670"/>
      <c r="F22" s="1670"/>
      <c r="G22" s="1643">
        <v>0</v>
      </c>
      <c r="H22" s="1643"/>
    </row>
    <row r="25" spans="2:9" x14ac:dyDescent="0.2">
      <c r="G25" s="432"/>
    </row>
    <row r="26" spans="2:9" x14ac:dyDescent="0.2">
      <c r="G26" s="555"/>
    </row>
    <row r="27" spans="2:9" x14ac:dyDescent="0.2">
      <c r="G27" s="432"/>
    </row>
  </sheetData>
  <mergeCells count="31">
    <mergeCell ref="B10:F10"/>
    <mergeCell ref="G10:H10"/>
    <mergeCell ref="B4:H4"/>
    <mergeCell ref="B6:H6"/>
    <mergeCell ref="G8:H8"/>
    <mergeCell ref="B9:F9"/>
    <mergeCell ref="G9:H9"/>
    <mergeCell ref="B15:F15"/>
    <mergeCell ref="G15:H15"/>
    <mergeCell ref="B16:F16"/>
    <mergeCell ref="G16:H16"/>
    <mergeCell ref="B11:F11"/>
    <mergeCell ref="G11:H11"/>
    <mergeCell ref="B12:F12"/>
    <mergeCell ref="G12:H12"/>
    <mergeCell ref="B14:F14"/>
    <mergeCell ref="G14:H14"/>
    <mergeCell ref="B13:F13"/>
    <mergeCell ref="G13:H13"/>
    <mergeCell ref="B17:F17"/>
    <mergeCell ref="G17:H17"/>
    <mergeCell ref="B18:F18"/>
    <mergeCell ref="G18:H18"/>
    <mergeCell ref="B19:F19"/>
    <mergeCell ref="G19:H19"/>
    <mergeCell ref="B20:F20"/>
    <mergeCell ref="G20:H20"/>
    <mergeCell ref="B21:F21"/>
    <mergeCell ref="G21:H21"/>
    <mergeCell ref="B22:F22"/>
    <mergeCell ref="G22:H22"/>
  </mergeCells>
  <pageMargins left="0.75" right="0.75" top="1" bottom="1" header="0.5" footer="0.51180555555555562"/>
  <pageSetup paperSize="9" scale="95" firstPageNumber="0" orientation="portrait" horizontalDpi="300" verticalDpi="300" r:id="rId1"/>
  <headerFooter alignWithMargins="0">
    <oddHeader>&amp;R14.2. sz. melléklet
....../2019.(V.30.) Egyek Önk. r.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0"/>
  <sheetViews>
    <sheetView view="pageLayout" zoomScaleNormal="130" workbookViewId="0">
      <selection activeCell="I16" sqref="I16"/>
    </sheetView>
  </sheetViews>
  <sheetFormatPr defaultRowHeight="12.75" x14ac:dyDescent="0.2"/>
  <cols>
    <col min="1" max="1" width="37.5703125" style="627" customWidth="1"/>
    <col min="2" max="2" width="27.5703125" style="24" customWidth="1"/>
    <col min="3" max="3" width="18.5703125" style="24" customWidth="1"/>
    <col min="4" max="4" width="17" style="630" customWidth="1"/>
    <col min="5" max="5" width="19" style="631" bestFit="1" customWidth="1"/>
    <col min="6" max="6" width="20.42578125" style="630" customWidth="1"/>
    <col min="7" max="7" width="15.5703125" style="604" customWidth="1"/>
    <col min="8" max="9" width="17.42578125" customWidth="1"/>
    <col min="10" max="10" width="17.85546875" customWidth="1"/>
  </cols>
  <sheetData>
    <row r="1" spans="1:10" ht="15.75" customHeight="1" x14ac:dyDescent="0.2">
      <c r="A1" s="1492" t="s">
        <v>562</v>
      </c>
      <c r="B1" s="1492"/>
      <c r="C1" s="1492"/>
      <c r="D1" s="1492"/>
      <c r="E1" s="1492"/>
      <c r="F1" s="1492"/>
      <c r="G1" s="1492"/>
      <c r="H1" s="177"/>
      <c r="I1" s="177"/>
      <c r="J1" s="177"/>
    </row>
    <row r="2" spans="1:10" ht="12.75" customHeight="1" x14ac:dyDescent="0.2">
      <c r="A2" s="625"/>
      <c r="B2" s="625"/>
      <c r="C2" s="625"/>
      <c r="D2" s="629"/>
      <c r="E2" s="629"/>
      <c r="F2" s="629"/>
      <c r="G2" s="626"/>
      <c r="H2" s="177"/>
      <c r="I2" s="177"/>
      <c r="J2" s="177"/>
    </row>
    <row r="3" spans="1:10" ht="13.5" thickBot="1" x14ac:dyDescent="0.25">
      <c r="F3" s="990" t="s">
        <v>184</v>
      </c>
      <c r="G3" s="990"/>
    </row>
    <row r="4" spans="1:10" ht="16.5" thickBot="1" x14ac:dyDescent="0.3">
      <c r="A4" s="1341" t="s">
        <v>72</v>
      </c>
      <c r="B4" s="632" t="s">
        <v>151</v>
      </c>
      <c r="C4" s="633" t="s">
        <v>147</v>
      </c>
      <c r="D4" s="634" t="s">
        <v>152</v>
      </c>
      <c r="E4" s="634" t="s">
        <v>149</v>
      </c>
      <c r="F4" s="635" t="s">
        <v>150</v>
      </c>
    </row>
    <row r="5" spans="1:10" ht="24" x14ac:dyDescent="0.2">
      <c r="A5" s="1493" t="s">
        <v>165</v>
      </c>
      <c r="B5" s="1118" t="s">
        <v>52</v>
      </c>
      <c r="C5" s="1316"/>
      <c r="D5" s="638">
        <v>1303451</v>
      </c>
      <c r="E5" s="639">
        <v>3206891</v>
      </c>
      <c r="F5" s="677">
        <f>E5/D5*100</f>
        <v>246.03080591445323</v>
      </c>
    </row>
    <row r="6" spans="1:10" ht="36" x14ac:dyDescent="0.2">
      <c r="A6" s="1493"/>
      <c r="B6" s="1120" t="s">
        <v>57</v>
      </c>
      <c r="C6" s="1313"/>
      <c r="D6" s="643"/>
      <c r="E6" s="644">
        <v>5500000</v>
      </c>
      <c r="F6" s="645"/>
    </row>
    <row r="7" spans="1:10" x14ac:dyDescent="0.2">
      <c r="A7" s="1493"/>
      <c r="B7" s="1120" t="s">
        <v>70</v>
      </c>
      <c r="C7" s="1313"/>
      <c r="D7" s="643"/>
      <c r="E7" s="644"/>
      <c r="F7" s="645"/>
    </row>
    <row r="8" spans="1:10" x14ac:dyDescent="0.2">
      <c r="A8" s="1493"/>
      <c r="B8" s="1120" t="s">
        <v>50</v>
      </c>
      <c r="C8" s="1313">
        <v>146000</v>
      </c>
      <c r="D8" s="643">
        <v>4290359</v>
      </c>
      <c r="E8" s="644">
        <v>4048494</v>
      </c>
      <c r="F8" s="679"/>
    </row>
    <row r="9" spans="1:10" x14ac:dyDescent="0.2">
      <c r="A9" s="1493"/>
      <c r="B9" s="1120" t="s">
        <v>71</v>
      </c>
      <c r="C9" s="1313"/>
      <c r="D9" s="643"/>
      <c r="E9" s="644"/>
      <c r="F9" s="645"/>
    </row>
    <row r="10" spans="1:10" ht="24" x14ac:dyDescent="0.2">
      <c r="A10" s="1493"/>
      <c r="B10" s="1120" t="s">
        <v>68</v>
      </c>
      <c r="C10" s="1313"/>
      <c r="D10" s="643"/>
      <c r="E10" s="644"/>
      <c r="F10" s="645"/>
    </row>
    <row r="11" spans="1:10" ht="24" x14ac:dyDescent="0.2">
      <c r="A11" s="1493"/>
      <c r="B11" s="1120" t="s">
        <v>59</v>
      </c>
      <c r="C11" s="1319"/>
      <c r="D11" s="643"/>
      <c r="E11" s="644"/>
      <c r="F11" s="679"/>
    </row>
    <row r="12" spans="1:10" x14ac:dyDescent="0.2">
      <c r="A12" s="1493"/>
      <c r="B12" s="1120" t="s">
        <v>66</v>
      </c>
      <c r="C12" s="1313">
        <v>6004541</v>
      </c>
      <c r="D12" s="643">
        <v>12863096</v>
      </c>
      <c r="E12" s="644"/>
      <c r="F12" s="645"/>
    </row>
    <row r="13" spans="1:10" ht="13.5" thickBot="1" x14ac:dyDescent="0.25">
      <c r="A13" s="1494"/>
      <c r="B13" s="1121" t="s">
        <v>11</v>
      </c>
      <c r="C13" s="1122">
        <f>SUM(C5:C12)</f>
        <v>6150541</v>
      </c>
      <c r="D13" s="649">
        <f>SUM(D5:D12)</f>
        <v>18456906</v>
      </c>
      <c r="E13" s="649">
        <f>SUM(E5:E12)</f>
        <v>12755385</v>
      </c>
      <c r="F13" s="650">
        <f>E13/D13*100</f>
        <v>69.109009928316269</v>
      </c>
    </row>
    <row r="14" spans="1:10" ht="24" x14ac:dyDescent="0.2">
      <c r="A14" s="1493" t="s">
        <v>79</v>
      </c>
      <c r="B14" s="1317" t="s">
        <v>52</v>
      </c>
      <c r="C14" s="1318"/>
      <c r="D14" s="665"/>
      <c r="E14" s="666"/>
      <c r="F14" s="667"/>
    </row>
    <row r="15" spans="1:10" ht="36" x14ac:dyDescent="0.2">
      <c r="A15" s="1493"/>
      <c r="B15" s="1120" t="s">
        <v>57</v>
      </c>
      <c r="C15" s="1313"/>
      <c r="D15" s="643"/>
      <c r="E15" s="644"/>
      <c r="F15" s="645"/>
    </row>
    <row r="16" spans="1:10" x14ac:dyDescent="0.2">
      <c r="A16" s="1493"/>
      <c r="B16" s="1120" t="s">
        <v>70</v>
      </c>
      <c r="C16" s="1313"/>
      <c r="D16" s="643"/>
      <c r="E16" s="644"/>
      <c r="F16" s="645"/>
    </row>
    <row r="17" spans="1:6" customFormat="1" x14ac:dyDescent="0.2">
      <c r="A17" s="1493"/>
      <c r="B17" s="1120" t="s">
        <v>50</v>
      </c>
      <c r="C17" s="1313">
        <v>720000</v>
      </c>
      <c r="D17" s="643">
        <v>1805000</v>
      </c>
      <c r="E17" s="644">
        <v>1810865</v>
      </c>
      <c r="F17" s="679">
        <f>E17/D17*100</f>
        <v>100.32493074792244</v>
      </c>
    </row>
    <row r="18" spans="1:6" customFormat="1" x14ac:dyDescent="0.2">
      <c r="A18" s="1493"/>
      <c r="B18" s="1120" t="s">
        <v>71</v>
      </c>
      <c r="C18" s="1313"/>
      <c r="D18" s="643"/>
      <c r="E18" s="644"/>
      <c r="F18" s="645"/>
    </row>
    <row r="19" spans="1:6" customFormat="1" ht="24" x14ac:dyDescent="0.2">
      <c r="A19" s="1493"/>
      <c r="B19" s="1120" t="s">
        <v>68</v>
      </c>
      <c r="C19" s="1313"/>
      <c r="D19" s="643"/>
      <c r="E19" s="644"/>
      <c r="F19" s="645"/>
    </row>
    <row r="20" spans="1:6" customFormat="1" ht="24" x14ac:dyDescent="0.2">
      <c r="A20" s="1493"/>
      <c r="B20" s="1120" t="s">
        <v>59</v>
      </c>
      <c r="C20" s="1314"/>
      <c r="D20" s="651"/>
      <c r="E20" s="652"/>
      <c r="F20" s="653"/>
    </row>
    <row r="21" spans="1:6" customFormat="1" x14ac:dyDescent="0.2">
      <c r="A21" s="1493"/>
      <c r="B21" s="1120" t="s">
        <v>66</v>
      </c>
      <c r="C21" s="1315"/>
      <c r="D21" s="651"/>
      <c r="E21" s="652"/>
      <c r="F21" s="653"/>
    </row>
    <row r="22" spans="1:6" customFormat="1" ht="13.5" thickBot="1" x14ac:dyDescent="0.25">
      <c r="A22" s="1494"/>
      <c r="B22" s="1121" t="s">
        <v>11</v>
      </c>
      <c r="C22" s="1122">
        <f>SUM(C14:C21)</f>
        <v>720000</v>
      </c>
      <c r="D22" s="649">
        <f>SUM(D14:D21)</f>
        <v>1805000</v>
      </c>
      <c r="E22" s="649">
        <f>SUM(E14:E21)</f>
        <v>1810865</v>
      </c>
      <c r="F22" s="650">
        <f>E22/D22*100</f>
        <v>100.32493074792244</v>
      </c>
    </row>
    <row r="23" spans="1:6" customFormat="1" ht="24" x14ac:dyDescent="0.2">
      <c r="A23" s="1495" t="s">
        <v>73</v>
      </c>
      <c r="B23" s="654" t="s">
        <v>52</v>
      </c>
      <c r="C23" s="664"/>
      <c r="D23" s="665"/>
      <c r="E23" s="666"/>
      <c r="F23" s="665"/>
    </row>
    <row r="24" spans="1:6" customFormat="1" ht="36" x14ac:dyDescent="0.2">
      <c r="A24" s="1495"/>
      <c r="B24" s="641" t="s">
        <v>57</v>
      </c>
      <c r="C24" s="642"/>
      <c r="D24" s="643"/>
      <c r="E24" s="644"/>
      <c r="F24" s="643"/>
    </row>
    <row r="25" spans="1:6" customFormat="1" x14ac:dyDescent="0.2">
      <c r="A25" s="1495"/>
      <c r="B25" s="641" t="s">
        <v>70</v>
      </c>
      <c r="C25" s="642"/>
      <c r="D25" s="643"/>
      <c r="E25" s="644"/>
      <c r="F25" s="643"/>
    </row>
    <row r="26" spans="1:6" customFormat="1" x14ac:dyDescent="0.2">
      <c r="A26" s="1495"/>
      <c r="B26" s="641" t="s">
        <v>50</v>
      </c>
      <c r="C26" s="642">
        <v>28026820</v>
      </c>
      <c r="D26" s="643">
        <v>49160680</v>
      </c>
      <c r="E26" s="644">
        <v>36762799</v>
      </c>
      <c r="F26" s="644">
        <f>E26/D26*100</f>
        <v>74.780900101463203</v>
      </c>
    </row>
    <row r="27" spans="1:6" customFormat="1" x14ac:dyDescent="0.2">
      <c r="A27" s="1495"/>
      <c r="B27" s="641" t="s">
        <v>71</v>
      </c>
      <c r="C27" s="642">
        <v>5179650</v>
      </c>
      <c r="D27" s="643">
        <v>11762468</v>
      </c>
      <c r="E27" s="644">
        <v>3046456</v>
      </c>
      <c r="F27" s="644">
        <f>E27/D27*100</f>
        <v>25.899802660462072</v>
      </c>
    </row>
    <row r="28" spans="1:6" customFormat="1" ht="24" x14ac:dyDescent="0.2">
      <c r="A28" s="1495"/>
      <c r="B28" s="641" t="s">
        <v>68</v>
      </c>
      <c r="C28" s="642">
        <v>7834004</v>
      </c>
      <c r="D28" s="643">
        <v>7834004</v>
      </c>
      <c r="E28" s="644">
        <v>7834004</v>
      </c>
      <c r="F28" s="644">
        <f>E28/D28*100</f>
        <v>100</v>
      </c>
    </row>
    <row r="29" spans="1:6" customFormat="1" ht="24" x14ac:dyDescent="0.2">
      <c r="A29" s="1495"/>
      <c r="B29" s="641" t="s">
        <v>59</v>
      </c>
      <c r="C29" s="646"/>
      <c r="D29" s="643"/>
      <c r="E29" s="644"/>
      <c r="F29" s="643"/>
    </row>
    <row r="30" spans="1:6" customFormat="1" x14ac:dyDescent="0.2">
      <c r="A30" s="1495"/>
      <c r="B30" s="641" t="s">
        <v>66</v>
      </c>
      <c r="C30" s="642">
        <v>34820584</v>
      </c>
      <c r="D30" s="643">
        <v>34820584</v>
      </c>
      <c r="E30" s="644"/>
      <c r="F30" s="645"/>
    </row>
    <row r="31" spans="1:6" customFormat="1" ht="13.5" thickBot="1" x14ac:dyDescent="0.25">
      <c r="A31" s="1496"/>
      <c r="B31" s="647" t="s">
        <v>11</v>
      </c>
      <c r="C31" s="648">
        <f>SUM(C23:C30)</f>
        <v>75861058</v>
      </c>
      <c r="D31" s="648">
        <f>SUM(D23:D30)</f>
        <v>103577736</v>
      </c>
      <c r="E31" s="648">
        <f>SUM(E23:E30)</f>
        <v>47643259</v>
      </c>
      <c r="F31" s="650">
        <f>E31/D31*100</f>
        <v>45.997586778687648</v>
      </c>
    </row>
    <row r="32" spans="1:6" customFormat="1" ht="24" x14ac:dyDescent="0.2">
      <c r="A32" s="1495" t="s">
        <v>74</v>
      </c>
      <c r="B32" s="654" t="s">
        <v>52</v>
      </c>
      <c r="C32" s="637">
        <v>341295150</v>
      </c>
      <c r="D32" s="638">
        <v>295290387</v>
      </c>
      <c r="E32" s="639">
        <v>295290387</v>
      </c>
      <c r="F32" s="644">
        <f>E32/D32*100</f>
        <v>100</v>
      </c>
    </row>
    <row r="33" spans="1:6" customFormat="1" ht="36" x14ac:dyDescent="0.2">
      <c r="A33" s="1495"/>
      <c r="B33" s="641" t="s">
        <v>57</v>
      </c>
      <c r="C33" s="642"/>
      <c r="D33" s="643">
        <v>39256370</v>
      </c>
      <c r="E33" s="644">
        <v>39256370</v>
      </c>
      <c r="F33" s="645">
        <f>E33/D33*100</f>
        <v>100</v>
      </c>
    </row>
    <row r="34" spans="1:6" customFormat="1" x14ac:dyDescent="0.2">
      <c r="A34" s="1495"/>
      <c r="B34" s="641" t="s">
        <v>70</v>
      </c>
      <c r="C34" s="642"/>
      <c r="D34" s="643"/>
      <c r="E34" s="644"/>
      <c r="F34" s="645"/>
    </row>
    <row r="35" spans="1:6" customFormat="1" x14ac:dyDescent="0.2">
      <c r="A35" s="1495"/>
      <c r="B35" s="641" t="s">
        <v>50</v>
      </c>
      <c r="C35" s="642"/>
      <c r="D35" s="643"/>
      <c r="E35" s="644"/>
      <c r="F35" s="645"/>
    </row>
    <row r="36" spans="1:6" customFormat="1" x14ac:dyDescent="0.2">
      <c r="A36" s="1495"/>
      <c r="B36" s="641" t="s">
        <v>71</v>
      </c>
      <c r="C36" s="642"/>
      <c r="D36" s="643"/>
      <c r="E36" s="644"/>
      <c r="F36" s="645"/>
    </row>
    <row r="37" spans="1:6" customFormat="1" ht="24" x14ac:dyDescent="0.2">
      <c r="A37" s="1495"/>
      <c r="B37" s="641" t="s">
        <v>68</v>
      </c>
      <c r="C37" s="642"/>
      <c r="D37" s="643"/>
      <c r="E37" s="644"/>
      <c r="F37" s="645"/>
    </row>
    <row r="38" spans="1:6" customFormat="1" ht="24" x14ac:dyDescent="0.2">
      <c r="A38" s="1495"/>
      <c r="B38" s="641" t="s">
        <v>59</v>
      </c>
      <c r="C38" s="646"/>
      <c r="D38" s="643"/>
      <c r="E38" s="644"/>
      <c r="F38" s="645"/>
    </row>
    <row r="39" spans="1:6" customFormat="1" x14ac:dyDescent="0.2">
      <c r="A39" s="1495"/>
      <c r="B39" s="641" t="s">
        <v>66</v>
      </c>
      <c r="C39" s="642">
        <v>11049981</v>
      </c>
      <c r="D39" s="643">
        <v>19607382</v>
      </c>
      <c r="E39" s="644">
        <v>18685917</v>
      </c>
      <c r="F39" s="645">
        <f t="shared" ref="F39" si="0">E39/D39*100</f>
        <v>95.300417975229948</v>
      </c>
    </row>
    <row r="40" spans="1:6" customFormat="1" ht="13.5" thickBot="1" x14ac:dyDescent="0.25">
      <c r="A40" s="1496"/>
      <c r="B40" s="647" t="s">
        <v>11</v>
      </c>
      <c r="C40" s="655">
        <f>SUM(C32:C39)</f>
        <v>352345131</v>
      </c>
      <c r="D40" s="656">
        <f>SUM(D32:D39)</f>
        <v>354154139</v>
      </c>
      <c r="E40" s="656">
        <f>SUM(E32:E39)</f>
        <v>353232674</v>
      </c>
      <c r="F40" s="657">
        <f>E40/D40*100</f>
        <v>99.739812443643359</v>
      </c>
    </row>
    <row r="41" spans="1:6" customFormat="1" ht="24" x14ac:dyDescent="0.2">
      <c r="A41" s="1485" t="s">
        <v>313</v>
      </c>
      <c r="B41" s="658" t="s">
        <v>52</v>
      </c>
      <c r="C41" s="676"/>
      <c r="D41" s="991"/>
      <c r="E41" s="991"/>
      <c r="F41" s="645" t="e">
        <f>E41/D41*100</f>
        <v>#DIV/0!</v>
      </c>
    </row>
    <row r="42" spans="1:6" customFormat="1" ht="36" x14ac:dyDescent="0.2">
      <c r="A42" s="1486"/>
      <c r="B42" s="658" t="s">
        <v>57</v>
      </c>
      <c r="C42" s="678"/>
      <c r="D42" s="992"/>
      <c r="E42" s="992"/>
      <c r="F42" s="660"/>
    </row>
    <row r="43" spans="1:6" customFormat="1" x14ac:dyDescent="0.2">
      <c r="A43" s="1486"/>
      <c r="B43" s="658" t="s">
        <v>70</v>
      </c>
      <c r="C43" s="678"/>
      <c r="D43" s="992"/>
      <c r="E43" s="992"/>
      <c r="F43" s="660"/>
    </row>
    <row r="44" spans="1:6" customFormat="1" x14ac:dyDescent="0.2">
      <c r="A44" s="1486"/>
      <c r="B44" s="658" t="s">
        <v>50</v>
      </c>
      <c r="C44" s="678"/>
      <c r="D44" s="992"/>
      <c r="E44" s="992"/>
      <c r="F44" s="660"/>
    </row>
    <row r="45" spans="1:6" customFormat="1" x14ac:dyDescent="0.2">
      <c r="A45" s="1486"/>
      <c r="B45" s="658" t="s">
        <v>71</v>
      </c>
      <c r="C45" s="678"/>
      <c r="D45" s="992"/>
      <c r="E45" s="992"/>
      <c r="F45" s="660"/>
    </row>
    <row r="46" spans="1:6" customFormat="1" ht="24" x14ac:dyDescent="0.2">
      <c r="A46" s="1486"/>
      <c r="B46" s="658" t="s">
        <v>68</v>
      </c>
      <c r="C46" s="678"/>
      <c r="D46" s="992"/>
      <c r="E46" s="992"/>
      <c r="F46" s="660"/>
    </row>
    <row r="47" spans="1:6" customFormat="1" ht="24" x14ac:dyDescent="0.2">
      <c r="A47" s="1486"/>
      <c r="B47" s="658" t="s">
        <v>59</v>
      </c>
      <c r="C47" s="678"/>
      <c r="D47" s="992"/>
      <c r="E47" s="992"/>
      <c r="F47" s="660"/>
    </row>
    <row r="48" spans="1:6" customFormat="1" x14ac:dyDescent="0.2">
      <c r="A48" s="1486"/>
      <c r="B48" s="658" t="s">
        <v>66</v>
      </c>
      <c r="C48" s="678"/>
      <c r="D48" s="992"/>
      <c r="E48" s="992">
        <v>162246233</v>
      </c>
      <c r="F48" s="645"/>
    </row>
    <row r="49" spans="1:6" customFormat="1" ht="13.5" thickBot="1" x14ac:dyDescent="0.25">
      <c r="A49" s="1488"/>
      <c r="B49" s="661" t="s">
        <v>11</v>
      </c>
      <c r="C49" s="662">
        <f>SUM(C41:C48)</f>
        <v>0</v>
      </c>
      <c r="D49" s="662">
        <f>SUM(D41:D48)</f>
        <v>0</v>
      </c>
      <c r="E49" s="662">
        <f>SUM(E41:E48)</f>
        <v>162246233</v>
      </c>
      <c r="F49" s="660" t="e">
        <f>E49/D49*100</f>
        <v>#DIV/0!</v>
      </c>
    </row>
    <row r="50" spans="1:6" customFormat="1" ht="16.5" thickBot="1" x14ac:dyDescent="0.3">
      <c r="A50" s="1341" t="s">
        <v>72</v>
      </c>
      <c r="B50" s="632" t="s">
        <v>151</v>
      </c>
      <c r="C50" s="633" t="s">
        <v>147</v>
      </c>
      <c r="D50" s="634" t="s">
        <v>152</v>
      </c>
      <c r="E50" s="634" t="s">
        <v>149</v>
      </c>
      <c r="F50" s="635" t="s">
        <v>150</v>
      </c>
    </row>
    <row r="51" spans="1:6" customFormat="1" ht="24" x14ac:dyDescent="0.2">
      <c r="A51" s="1485" t="s">
        <v>423</v>
      </c>
      <c r="B51" s="636" t="s">
        <v>52</v>
      </c>
      <c r="C51" s="637"/>
      <c r="D51" s="638">
        <v>27443748</v>
      </c>
      <c r="E51" s="639">
        <v>43572140</v>
      </c>
      <c r="F51" s="645">
        <f>E51/D51*100</f>
        <v>158.7689115932707</v>
      </c>
    </row>
    <row r="52" spans="1:6" customFormat="1" ht="36" x14ac:dyDescent="0.2">
      <c r="A52" s="1486"/>
      <c r="B52" s="641" t="s">
        <v>57</v>
      </c>
      <c r="C52" s="642"/>
      <c r="D52" s="643"/>
      <c r="E52" s="644"/>
      <c r="F52" s="645"/>
    </row>
    <row r="53" spans="1:6" customFormat="1" x14ac:dyDescent="0.2">
      <c r="A53" s="1486"/>
      <c r="B53" s="641" t="s">
        <v>70</v>
      </c>
      <c r="C53" s="642"/>
      <c r="D53" s="643"/>
      <c r="E53" s="644"/>
      <c r="F53" s="645"/>
    </row>
    <row r="54" spans="1:6" customFormat="1" x14ac:dyDescent="0.2">
      <c r="A54" s="1486"/>
      <c r="B54" s="641" t="s">
        <v>50</v>
      </c>
      <c r="C54" s="642"/>
      <c r="D54" s="643"/>
      <c r="E54" s="644"/>
      <c r="F54" s="645"/>
    </row>
    <row r="55" spans="1:6" customFormat="1" x14ac:dyDescent="0.2">
      <c r="A55" s="1486"/>
      <c r="B55" s="641" t="s">
        <v>71</v>
      </c>
      <c r="C55" s="642"/>
      <c r="D55" s="643"/>
      <c r="E55" s="644"/>
      <c r="F55" s="645"/>
    </row>
    <row r="56" spans="1:6" customFormat="1" ht="24" x14ac:dyDescent="0.2">
      <c r="A56" s="1486"/>
      <c r="B56" s="641" t="s">
        <v>68</v>
      </c>
      <c r="C56" s="642"/>
      <c r="D56" s="643"/>
      <c r="E56" s="644"/>
      <c r="F56" s="645"/>
    </row>
    <row r="57" spans="1:6" customFormat="1" ht="24" x14ac:dyDescent="0.2">
      <c r="A57" s="1486"/>
      <c r="B57" s="641" t="s">
        <v>59</v>
      </c>
      <c r="C57" s="646"/>
      <c r="D57" s="643"/>
      <c r="E57" s="644"/>
      <c r="F57" s="645"/>
    </row>
    <row r="58" spans="1:6" customFormat="1" x14ac:dyDescent="0.2">
      <c r="A58" s="1486"/>
      <c r="B58" s="641" t="s">
        <v>66</v>
      </c>
      <c r="C58" s="642"/>
      <c r="D58" s="643"/>
      <c r="E58" s="644"/>
      <c r="F58" s="645"/>
    </row>
    <row r="59" spans="1:6" customFormat="1" ht="13.5" thickBot="1" x14ac:dyDescent="0.25">
      <c r="A59" s="1487"/>
      <c r="B59" s="647" t="s">
        <v>11</v>
      </c>
      <c r="C59" s="648">
        <f>SUM(C51:C58)</f>
        <v>0</v>
      </c>
      <c r="D59" s="649">
        <f>SUM(D51:D58)</f>
        <v>27443748</v>
      </c>
      <c r="E59" s="649">
        <f>SUM(E51:E58)</f>
        <v>43572140</v>
      </c>
      <c r="F59" s="650">
        <f>E59/D59*100</f>
        <v>158.7689115932707</v>
      </c>
    </row>
    <row r="60" spans="1:6" customFormat="1" ht="24" x14ac:dyDescent="0.2">
      <c r="A60" s="1489" t="s">
        <v>78</v>
      </c>
      <c r="B60" s="636" t="s">
        <v>52</v>
      </c>
      <c r="C60" s="637">
        <v>2530552</v>
      </c>
      <c r="D60" s="638">
        <v>423315519</v>
      </c>
      <c r="E60" s="639">
        <v>373014541</v>
      </c>
      <c r="F60" s="640">
        <f>E60/D60*100</f>
        <v>88.117379178815312</v>
      </c>
    </row>
    <row r="61" spans="1:6" customFormat="1" ht="36" x14ac:dyDescent="0.2">
      <c r="A61" s="1490"/>
      <c r="B61" s="641" t="s">
        <v>57</v>
      </c>
      <c r="C61" s="642"/>
      <c r="D61" s="643"/>
      <c r="E61" s="644">
        <v>18123389</v>
      </c>
      <c r="F61" s="645"/>
    </row>
    <row r="62" spans="1:6" customFormat="1" x14ac:dyDescent="0.2">
      <c r="A62" s="1490"/>
      <c r="B62" s="641" t="s">
        <v>70</v>
      </c>
      <c r="C62" s="642"/>
      <c r="D62" s="643"/>
      <c r="E62" s="644"/>
      <c r="F62" s="645"/>
    </row>
    <row r="63" spans="1:6" customFormat="1" x14ac:dyDescent="0.2">
      <c r="A63" s="1490"/>
      <c r="B63" s="641" t="s">
        <v>50</v>
      </c>
      <c r="C63" s="642">
        <v>11510000</v>
      </c>
      <c r="D63" s="643">
        <v>16952789</v>
      </c>
      <c r="E63" s="644">
        <v>17967903</v>
      </c>
      <c r="F63" s="645">
        <f>E63/D63*100</f>
        <v>105.98788789266473</v>
      </c>
    </row>
    <row r="64" spans="1:6" customFormat="1" x14ac:dyDescent="0.2">
      <c r="A64" s="1490"/>
      <c r="B64" s="641" t="s">
        <v>71</v>
      </c>
      <c r="C64" s="642"/>
      <c r="D64" s="643"/>
      <c r="E64" s="644"/>
      <c r="F64" s="645"/>
    </row>
    <row r="65" spans="1:6" customFormat="1" ht="24" x14ac:dyDescent="0.2">
      <c r="A65" s="1490"/>
      <c r="B65" s="641" t="s">
        <v>68</v>
      </c>
      <c r="C65" s="642"/>
      <c r="D65" s="643"/>
      <c r="E65" s="644"/>
      <c r="F65" s="645"/>
    </row>
    <row r="66" spans="1:6" customFormat="1" ht="24" x14ac:dyDescent="0.2">
      <c r="A66" s="1490"/>
      <c r="B66" s="641" t="s">
        <v>59</v>
      </c>
      <c r="C66" s="663"/>
      <c r="D66" s="643"/>
      <c r="E66" s="644"/>
      <c r="F66" s="645"/>
    </row>
    <row r="67" spans="1:6" customFormat="1" x14ac:dyDescent="0.2">
      <c r="A67" s="1490"/>
      <c r="B67" s="641" t="s">
        <v>66</v>
      </c>
      <c r="C67" s="642">
        <v>82328640</v>
      </c>
      <c r="D67" s="643">
        <v>82328640</v>
      </c>
      <c r="E67" s="644"/>
      <c r="F67" s="645"/>
    </row>
    <row r="68" spans="1:6" customFormat="1" ht="13.5" thickBot="1" x14ac:dyDescent="0.25">
      <c r="A68" s="1491"/>
      <c r="B68" s="668" t="s">
        <v>11</v>
      </c>
      <c r="C68" s="655">
        <f>SUM(C60:C67)</f>
        <v>96369192</v>
      </c>
      <c r="D68" s="656">
        <f>SUM(D60:D67)</f>
        <v>522596948</v>
      </c>
      <c r="E68" s="656">
        <f>SUM(E60:E67)</f>
        <v>409105833</v>
      </c>
      <c r="F68" s="657">
        <f>E68/D68*100</f>
        <v>78.283241906724641</v>
      </c>
    </row>
    <row r="69" spans="1:6" customFormat="1" ht="24" x14ac:dyDescent="0.2">
      <c r="A69" s="1489" t="s">
        <v>468</v>
      </c>
      <c r="B69" s="1118" t="s">
        <v>52</v>
      </c>
      <c r="C69" s="1119"/>
      <c r="D69" s="991"/>
      <c r="E69" s="991"/>
      <c r="F69" s="659"/>
    </row>
    <row r="70" spans="1:6" customFormat="1" ht="36" x14ac:dyDescent="0.2">
      <c r="A70" s="1490"/>
      <c r="B70" s="1120" t="s">
        <v>57</v>
      </c>
      <c r="C70" s="1117"/>
      <c r="D70" s="992"/>
      <c r="E70" s="992"/>
      <c r="F70" s="660"/>
    </row>
    <row r="71" spans="1:6" customFormat="1" x14ac:dyDescent="0.2">
      <c r="A71" s="1490"/>
      <c r="B71" s="1120" t="s">
        <v>70</v>
      </c>
      <c r="C71" s="1117"/>
      <c r="D71" s="992"/>
      <c r="E71" s="992"/>
      <c r="F71" s="660"/>
    </row>
    <row r="72" spans="1:6" customFormat="1" x14ac:dyDescent="0.2">
      <c r="A72" s="1490"/>
      <c r="B72" s="1120" t="s">
        <v>50</v>
      </c>
      <c r="C72" s="1117">
        <v>3675000</v>
      </c>
      <c r="D72" s="992">
        <v>7225340</v>
      </c>
      <c r="E72" s="992">
        <v>9941382</v>
      </c>
      <c r="F72" s="645">
        <f>E72/D72*100</f>
        <v>137.59050785153363</v>
      </c>
    </row>
    <row r="73" spans="1:6" customFormat="1" x14ac:dyDescent="0.2">
      <c r="A73" s="1490"/>
      <c r="B73" s="1120" t="s">
        <v>71</v>
      </c>
      <c r="C73" s="1117"/>
      <c r="D73" s="992"/>
      <c r="E73" s="992"/>
      <c r="F73" s="660"/>
    </row>
    <row r="74" spans="1:6" customFormat="1" ht="24" x14ac:dyDescent="0.2">
      <c r="A74" s="1490"/>
      <c r="B74" s="1120" t="s">
        <v>68</v>
      </c>
      <c r="C74" s="1117"/>
      <c r="D74" s="992"/>
      <c r="E74" s="992"/>
      <c r="F74" s="660"/>
    </row>
    <row r="75" spans="1:6" customFormat="1" ht="24" x14ac:dyDescent="0.2">
      <c r="A75" s="1490"/>
      <c r="B75" s="1120" t="s">
        <v>59</v>
      </c>
      <c r="C75" s="1117"/>
      <c r="D75" s="992"/>
      <c r="E75" s="992"/>
      <c r="F75" s="660"/>
    </row>
    <row r="76" spans="1:6" customFormat="1" x14ac:dyDescent="0.2">
      <c r="A76" s="1490"/>
      <c r="B76" s="1120" t="s">
        <v>66</v>
      </c>
      <c r="C76" s="1117"/>
      <c r="D76" s="992"/>
      <c r="E76" s="992"/>
      <c r="F76" s="660"/>
    </row>
    <row r="77" spans="1:6" customFormat="1" ht="13.5" thickBot="1" x14ac:dyDescent="0.25">
      <c r="A77" s="1491"/>
      <c r="B77" s="1121" t="s">
        <v>11</v>
      </c>
      <c r="C77" s="1123">
        <f>SUM(C69:C76)</f>
        <v>3675000</v>
      </c>
      <c r="D77" s="1123">
        <f t="shared" ref="D77:E77" si="1">SUM(D69:D76)</f>
        <v>7225340</v>
      </c>
      <c r="E77" s="1123">
        <f t="shared" si="1"/>
        <v>9941382</v>
      </c>
      <c r="F77" s="836">
        <f>E77/D77*100</f>
        <v>137.59050785153363</v>
      </c>
    </row>
    <row r="78" spans="1:6" customFormat="1" ht="24" x14ac:dyDescent="0.2">
      <c r="A78" s="1489" t="s">
        <v>424</v>
      </c>
      <c r="B78" s="671" t="s">
        <v>52</v>
      </c>
      <c r="C78" s="1124"/>
      <c r="D78" s="638"/>
      <c r="E78" s="639"/>
      <c r="F78" s="640"/>
    </row>
    <row r="79" spans="1:6" customFormat="1" ht="36" x14ac:dyDescent="0.2">
      <c r="A79" s="1490"/>
      <c r="B79" s="658" t="s">
        <v>57</v>
      </c>
      <c r="C79" s="1125">
        <v>820378020</v>
      </c>
      <c r="D79" s="643">
        <v>803078021</v>
      </c>
      <c r="E79" s="644">
        <v>942397617</v>
      </c>
      <c r="F79" s="645">
        <f>E79/D79*100</f>
        <v>117.34820183803785</v>
      </c>
    </row>
    <row r="80" spans="1:6" customFormat="1" x14ac:dyDescent="0.2">
      <c r="A80" s="1490"/>
      <c r="B80" s="658" t="s">
        <v>70</v>
      </c>
      <c r="C80" s="1125"/>
      <c r="D80" s="643"/>
      <c r="E80" s="644"/>
      <c r="F80" s="645"/>
    </row>
    <row r="81" spans="1:6" customFormat="1" x14ac:dyDescent="0.2">
      <c r="A81" s="1490"/>
      <c r="B81" s="658" t="s">
        <v>50</v>
      </c>
      <c r="C81" s="1125"/>
      <c r="D81" s="643"/>
      <c r="E81" s="644"/>
      <c r="F81" s="645"/>
    </row>
    <row r="82" spans="1:6" customFormat="1" x14ac:dyDescent="0.2">
      <c r="A82" s="1490"/>
      <c r="B82" s="658" t="s">
        <v>71</v>
      </c>
      <c r="C82" s="1125"/>
      <c r="D82" s="643"/>
      <c r="E82" s="644"/>
      <c r="F82" s="645"/>
    </row>
    <row r="83" spans="1:6" customFormat="1" ht="24" x14ac:dyDescent="0.2">
      <c r="A83" s="1490"/>
      <c r="B83" s="658" t="s">
        <v>68</v>
      </c>
      <c r="C83" s="1125"/>
      <c r="D83" s="643"/>
      <c r="E83" s="644"/>
      <c r="F83" s="645"/>
    </row>
    <row r="84" spans="1:6" customFormat="1" ht="24" x14ac:dyDescent="0.2">
      <c r="A84" s="1490"/>
      <c r="B84" s="658" t="s">
        <v>59</v>
      </c>
      <c r="C84" s="1126"/>
      <c r="D84" s="643"/>
      <c r="E84" s="644"/>
      <c r="F84" s="645"/>
    </row>
    <row r="85" spans="1:6" customFormat="1" x14ac:dyDescent="0.2">
      <c r="A85" s="1490"/>
      <c r="B85" s="658" t="s">
        <v>66</v>
      </c>
      <c r="C85" s="1125">
        <v>8332340</v>
      </c>
      <c r="D85" s="643">
        <v>8332340</v>
      </c>
      <c r="E85" s="644"/>
      <c r="F85" s="645"/>
    </row>
    <row r="86" spans="1:6" customFormat="1" ht="13.5" thickBot="1" x14ac:dyDescent="0.25">
      <c r="A86" s="1491"/>
      <c r="B86" s="661" t="s">
        <v>11</v>
      </c>
      <c r="C86" s="662">
        <f>SUM(C78:C85)</f>
        <v>828710360</v>
      </c>
      <c r="D86" s="1123">
        <f>SUM(D78:D85)</f>
        <v>811410361</v>
      </c>
      <c r="E86" s="1123">
        <f>SUM(E78:E85)</f>
        <v>942397617</v>
      </c>
      <c r="F86" s="657">
        <f>E86/D86%</f>
        <v>116.14315792548771</v>
      </c>
    </row>
    <row r="87" spans="1:6" customFormat="1" ht="24" x14ac:dyDescent="0.2">
      <c r="A87" s="1485" t="s">
        <v>425</v>
      </c>
      <c r="B87" s="669" t="s">
        <v>52</v>
      </c>
      <c r="C87" s="1124"/>
      <c r="D87" s="638"/>
      <c r="E87" s="639"/>
      <c r="F87" s="993"/>
    </row>
    <row r="88" spans="1:6" customFormat="1" ht="36" x14ac:dyDescent="0.2">
      <c r="A88" s="1486"/>
      <c r="B88" s="658" t="s">
        <v>57</v>
      </c>
      <c r="C88" s="1125"/>
      <c r="D88" s="643"/>
      <c r="E88" s="644"/>
      <c r="F88" s="994"/>
    </row>
    <row r="89" spans="1:6" customFormat="1" x14ac:dyDescent="0.2">
      <c r="A89" s="1486"/>
      <c r="B89" s="658" t="s">
        <v>70</v>
      </c>
      <c r="C89" s="1125"/>
      <c r="D89" s="644"/>
      <c r="E89" s="644"/>
      <c r="F89" s="994"/>
    </row>
    <row r="90" spans="1:6" customFormat="1" x14ac:dyDescent="0.2">
      <c r="A90" s="1486"/>
      <c r="B90" s="658" t="s">
        <v>50</v>
      </c>
      <c r="C90" s="1125"/>
      <c r="D90" s="643"/>
      <c r="E90" s="644"/>
      <c r="F90" s="994"/>
    </row>
    <row r="91" spans="1:6" customFormat="1" x14ac:dyDescent="0.2">
      <c r="A91" s="1486"/>
      <c r="B91" s="658" t="s">
        <v>71</v>
      </c>
      <c r="C91" s="1125"/>
      <c r="D91" s="643"/>
      <c r="E91" s="644"/>
      <c r="F91" s="994"/>
    </row>
    <row r="92" spans="1:6" customFormat="1" ht="24" x14ac:dyDescent="0.2">
      <c r="A92" s="1486"/>
      <c r="B92" s="658" t="s">
        <v>68</v>
      </c>
      <c r="C92" s="1125"/>
      <c r="D92" s="643"/>
      <c r="E92" s="644">
        <v>200000</v>
      </c>
      <c r="F92" s="994"/>
    </row>
    <row r="93" spans="1:6" customFormat="1" ht="24" x14ac:dyDescent="0.2">
      <c r="A93" s="1486"/>
      <c r="B93" s="658" t="s">
        <v>59</v>
      </c>
      <c r="C93" s="1127"/>
      <c r="D93" s="643"/>
      <c r="E93" s="644"/>
      <c r="F93" s="994"/>
    </row>
    <row r="94" spans="1:6" customFormat="1" ht="13.5" thickBot="1" x14ac:dyDescent="0.25">
      <c r="A94" s="1486"/>
      <c r="B94" s="658" t="s">
        <v>66</v>
      </c>
      <c r="C94" s="1322"/>
      <c r="D94" s="1323"/>
      <c r="E94" s="1324"/>
      <c r="F94" s="997"/>
    </row>
    <row r="95" spans="1:6" customFormat="1" ht="13.5" thickBot="1" x14ac:dyDescent="0.25">
      <c r="A95" s="1487"/>
      <c r="B95" s="647" t="s">
        <v>11</v>
      </c>
      <c r="C95" s="1320">
        <f>SUM(C87:C94)</f>
        <v>0</v>
      </c>
      <c r="D95" s="1321">
        <f>SUM(D87:D94)</f>
        <v>0</v>
      </c>
      <c r="E95" s="1321">
        <f>SUM(E87:E94)</f>
        <v>200000</v>
      </c>
      <c r="F95" s="1310"/>
    </row>
    <row r="96" spans="1:6" customFormat="1" ht="24" x14ac:dyDescent="0.2">
      <c r="A96" s="1485" t="s">
        <v>496</v>
      </c>
      <c r="B96" s="669" t="s">
        <v>52</v>
      </c>
      <c r="C96" s="676"/>
      <c r="D96" s="991"/>
      <c r="E96" s="991"/>
      <c r="F96" s="993"/>
    </row>
    <row r="97" spans="1:6" customFormat="1" ht="36" x14ac:dyDescent="0.2">
      <c r="A97" s="1486"/>
      <c r="B97" s="658" t="s">
        <v>57</v>
      </c>
      <c r="C97" s="678"/>
      <c r="D97" s="992"/>
      <c r="E97" s="992"/>
      <c r="F97" s="994"/>
    </row>
    <row r="98" spans="1:6" customFormat="1" x14ac:dyDescent="0.2">
      <c r="A98" s="1486"/>
      <c r="B98" s="658" t="s">
        <v>70</v>
      </c>
      <c r="C98" s="678"/>
      <c r="D98" s="992"/>
      <c r="E98" s="992"/>
      <c r="F98" s="994"/>
    </row>
    <row r="99" spans="1:6" customFormat="1" x14ac:dyDescent="0.2">
      <c r="A99" s="1486"/>
      <c r="B99" s="658" t="s">
        <v>50</v>
      </c>
      <c r="C99" s="678"/>
      <c r="D99" s="992"/>
      <c r="E99" s="992"/>
      <c r="F99" s="994"/>
    </row>
    <row r="100" spans="1:6" customFormat="1" x14ac:dyDescent="0.2">
      <c r="A100" s="1486"/>
      <c r="B100" s="658" t="s">
        <v>71</v>
      </c>
      <c r="C100" s="678"/>
      <c r="D100" s="992"/>
      <c r="E100" s="992"/>
      <c r="F100" s="994"/>
    </row>
    <row r="101" spans="1:6" customFormat="1" ht="24" x14ac:dyDescent="0.2">
      <c r="A101" s="1486"/>
      <c r="B101" s="658" t="s">
        <v>68</v>
      </c>
      <c r="C101" s="678"/>
      <c r="D101" s="992"/>
      <c r="E101" s="992"/>
      <c r="F101" s="994"/>
    </row>
    <row r="102" spans="1:6" customFormat="1" ht="24" x14ac:dyDescent="0.2">
      <c r="A102" s="1486"/>
      <c r="B102" s="658" t="s">
        <v>59</v>
      </c>
      <c r="C102" s="678"/>
      <c r="D102" s="992"/>
      <c r="E102" s="992"/>
      <c r="F102" s="994"/>
    </row>
    <row r="103" spans="1:6" customFormat="1" ht="13.5" thickBot="1" x14ac:dyDescent="0.25">
      <c r="A103" s="1486"/>
      <c r="B103" s="658" t="s">
        <v>66</v>
      </c>
      <c r="C103" s="1326">
        <v>60000</v>
      </c>
      <c r="D103" s="1327">
        <v>60000</v>
      </c>
      <c r="E103" s="1327"/>
      <c r="F103" s="1328"/>
    </row>
    <row r="104" spans="1:6" customFormat="1" ht="13.5" thickBot="1" x14ac:dyDescent="0.25">
      <c r="A104" s="1487"/>
      <c r="B104" s="661" t="s">
        <v>11</v>
      </c>
      <c r="C104" s="1329">
        <f>SUM(C96:C103)</f>
        <v>60000</v>
      </c>
      <c r="D104" s="1330">
        <f t="shared" ref="D104:E104" si="2">SUM(D96:D103)</f>
        <v>60000</v>
      </c>
      <c r="E104" s="1330">
        <f t="shared" si="2"/>
        <v>0</v>
      </c>
      <c r="F104" s="1331">
        <f t="shared" ref="F104" si="3">E104/D104%</f>
        <v>0</v>
      </c>
    </row>
    <row r="105" spans="1:6" customFormat="1" ht="24" x14ac:dyDescent="0.2">
      <c r="A105" s="1485" t="s">
        <v>469</v>
      </c>
      <c r="B105" s="669" t="s">
        <v>52</v>
      </c>
      <c r="C105" s="1129"/>
      <c r="D105" s="1333"/>
      <c r="E105" s="1333"/>
      <c r="F105" s="993"/>
    </row>
    <row r="106" spans="1:6" customFormat="1" ht="36" x14ac:dyDescent="0.2">
      <c r="A106" s="1486"/>
      <c r="B106" s="658" t="s">
        <v>57</v>
      </c>
      <c r="C106" s="678">
        <v>1390854858</v>
      </c>
      <c r="D106" s="992">
        <v>1390854858</v>
      </c>
      <c r="E106" s="992"/>
      <c r="F106" s="994"/>
    </row>
    <row r="107" spans="1:6" customFormat="1" x14ac:dyDescent="0.2">
      <c r="A107" s="1486"/>
      <c r="B107" s="658" t="s">
        <v>70</v>
      </c>
      <c r="C107" s="678"/>
      <c r="D107" s="992"/>
      <c r="E107" s="992"/>
      <c r="F107" s="994"/>
    </row>
    <row r="108" spans="1:6" customFormat="1" x14ac:dyDescent="0.2">
      <c r="A108" s="1486"/>
      <c r="B108" s="658" t="s">
        <v>50</v>
      </c>
      <c r="C108" s="678"/>
      <c r="D108" s="992"/>
      <c r="E108" s="992"/>
      <c r="F108" s="994"/>
    </row>
    <row r="109" spans="1:6" customFormat="1" x14ac:dyDescent="0.2">
      <c r="A109" s="1486"/>
      <c r="B109" s="658" t="s">
        <v>71</v>
      </c>
      <c r="C109" s="678"/>
      <c r="D109" s="992"/>
      <c r="E109" s="992"/>
      <c r="F109" s="994"/>
    </row>
    <row r="110" spans="1:6" customFormat="1" ht="24" x14ac:dyDescent="0.2">
      <c r="A110" s="1486"/>
      <c r="B110" s="658" t="s">
        <v>68</v>
      </c>
      <c r="C110" s="678"/>
      <c r="D110" s="992"/>
      <c r="E110" s="992"/>
      <c r="F110" s="994"/>
    </row>
    <row r="111" spans="1:6" customFormat="1" ht="24" x14ac:dyDescent="0.2">
      <c r="A111" s="1486"/>
      <c r="B111" s="658" t="s">
        <v>59</v>
      </c>
      <c r="C111" s="678"/>
      <c r="D111" s="992"/>
      <c r="E111" s="992"/>
      <c r="F111" s="994"/>
    </row>
    <row r="112" spans="1:6" customFormat="1" ht="13.5" thickBot="1" x14ac:dyDescent="0.25">
      <c r="A112" s="1486"/>
      <c r="B112" s="658" t="s">
        <v>66</v>
      </c>
      <c r="C112" s="1325"/>
      <c r="D112" s="996"/>
      <c r="E112" s="996"/>
      <c r="F112" s="997"/>
    </row>
    <row r="113" spans="1:6" customFormat="1" ht="13.5" thickBot="1" x14ac:dyDescent="0.25">
      <c r="A113" s="1487"/>
      <c r="B113" s="647" t="s">
        <v>11</v>
      </c>
      <c r="C113" s="844">
        <f>SUM(C105:C112)</f>
        <v>1390854858</v>
      </c>
      <c r="D113" s="844">
        <f t="shared" ref="D113:E113" si="4">SUM(D105:D112)</f>
        <v>1390854858</v>
      </c>
      <c r="E113" s="995">
        <f t="shared" si="4"/>
        <v>0</v>
      </c>
      <c r="F113" s="1332">
        <f>E113/D113%</f>
        <v>0</v>
      </c>
    </row>
    <row r="114" spans="1:6" customFormat="1" ht="16.5" thickBot="1" x14ac:dyDescent="0.3">
      <c r="A114" s="1341" t="s">
        <v>72</v>
      </c>
      <c r="B114" s="632" t="s">
        <v>151</v>
      </c>
      <c r="C114" s="633" t="s">
        <v>147</v>
      </c>
      <c r="D114" s="634" t="s">
        <v>152</v>
      </c>
      <c r="E114" s="634" t="s">
        <v>149</v>
      </c>
      <c r="F114" s="635" t="s">
        <v>150</v>
      </c>
    </row>
    <row r="115" spans="1:6" customFormat="1" ht="24" x14ac:dyDescent="0.2">
      <c r="A115" s="1485" t="s">
        <v>578</v>
      </c>
      <c r="B115" s="669" t="s">
        <v>52</v>
      </c>
      <c r="C115" s="1129"/>
      <c r="D115" s="991">
        <v>183600</v>
      </c>
      <c r="E115" s="1333"/>
      <c r="F115" s="993"/>
    </row>
    <row r="116" spans="1:6" customFormat="1" ht="36" x14ac:dyDescent="0.2">
      <c r="A116" s="1486"/>
      <c r="B116" s="658" t="s">
        <v>57</v>
      </c>
      <c r="C116" s="678"/>
      <c r="D116" s="992"/>
      <c r="E116" s="992"/>
      <c r="F116" s="994"/>
    </row>
    <row r="117" spans="1:6" customFormat="1" x14ac:dyDescent="0.2">
      <c r="A117" s="1486"/>
      <c r="B117" s="658" t="s">
        <v>70</v>
      </c>
      <c r="C117" s="678"/>
      <c r="D117" s="992"/>
      <c r="E117" s="992"/>
      <c r="F117" s="994"/>
    </row>
    <row r="118" spans="1:6" customFormat="1" x14ac:dyDescent="0.2">
      <c r="A118" s="1486"/>
      <c r="B118" s="658" t="s">
        <v>50</v>
      </c>
      <c r="C118" s="678"/>
      <c r="D118" s="992"/>
      <c r="E118" s="992"/>
      <c r="F118" s="994"/>
    </row>
    <row r="119" spans="1:6" customFormat="1" x14ac:dyDescent="0.2">
      <c r="A119" s="1486"/>
      <c r="B119" s="658" t="s">
        <v>71</v>
      </c>
      <c r="C119" s="678"/>
      <c r="D119" s="992"/>
      <c r="E119" s="992"/>
      <c r="F119" s="994"/>
    </row>
    <row r="120" spans="1:6" customFormat="1" ht="24" x14ac:dyDescent="0.2">
      <c r="A120" s="1486"/>
      <c r="B120" s="658" t="s">
        <v>68</v>
      </c>
      <c r="C120" s="678"/>
      <c r="D120" s="992"/>
      <c r="E120" s="992"/>
      <c r="F120" s="994"/>
    </row>
    <row r="121" spans="1:6" customFormat="1" ht="24" x14ac:dyDescent="0.2">
      <c r="A121" s="1486"/>
      <c r="B121" s="658" t="s">
        <v>59</v>
      </c>
      <c r="C121" s="678"/>
      <c r="D121" s="992"/>
      <c r="E121" s="992"/>
      <c r="F121" s="994"/>
    </row>
    <row r="122" spans="1:6" customFormat="1" ht="13.5" thickBot="1" x14ac:dyDescent="0.25">
      <c r="A122" s="1486"/>
      <c r="B122" s="658" t="s">
        <v>66</v>
      </c>
      <c r="C122" s="1325"/>
      <c r="D122" s="996"/>
      <c r="E122" s="996"/>
      <c r="F122" s="997"/>
    </row>
    <row r="123" spans="1:6" customFormat="1" ht="13.5" thickBot="1" x14ac:dyDescent="0.25">
      <c r="A123" s="1487"/>
      <c r="B123" s="647" t="s">
        <v>11</v>
      </c>
      <c r="C123" s="844">
        <f>SUM(C115:C122)</f>
        <v>0</v>
      </c>
      <c r="D123" s="844">
        <f t="shared" ref="D123:E123" si="5">SUM(D115:D122)</f>
        <v>183600</v>
      </c>
      <c r="E123" s="995">
        <f t="shared" si="5"/>
        <v>0</v>
      </c>
      <c r="F123" s="1332">
        <f>E123/D123%</f>
        <v>0</v>
      </c>
    </row>
    <row r="124" spans="1:6" customFormat="1" ht="24" x14ac:dyDescent="0.2">
      <c r="A124" s="1485" t="s">
        <v>426</v>
      </c>
      <c r="B124" s="669" t="s">
        <v>52</v>
      </c>
      <c r="C124" s="676">
        <v>1178000</v>
      </c>
      <c r="D124" s="639">
        <v>1178000</v>
      </c>
      <c r="E124" s="639">
        <v>3739980</v>
      </c>
      <c r="F124" s="677">
        <f>SUM(E124/D124*100)</f>
        <v>317.48556876061122</v>
      </c>
    </row>
    <row r="125" spans="1:6" customFormat="1" ht="36" x14ac:dyDescent="0.2">
      <c r="A125" s="1486"/>
      <c r="B125" s="658" t="s">
        <v>57</v>
      </c>
      <c r="C125" s="678"/>
      <c r="D125" s="644"/>
      <c r="E125" s="644"/>
      <c r="F125" s="679"/>
    </row>
    <row r="126" spans="1:6" customFormat="1" x14ac:dyDescent="0.2">
      <c r="A126" s="1486"/>
      <c r="B126" s="658" t="s">
        <v>70</v>
      </c>
      <c r="C126" s="678"/>
      <c r="D126" s="644"/>
      <c r="E126" s="644"/>
      <c r="F126" s="679"/>
    </row>
    <row r="127" spans="1:6" customFormat="1" x14ac:dyDescent="0.2">
      <c r="A127" s="1486"/>
      <c r="B127" s="658" t="s">
        <v>50</v>
      </c>
      <c r="C127" s="678"/>
      <c r="D127" s="644">
        <v>121000</v>
      </c>
      <c r="E127" s="644">
        <v>201400</v>
      </c>
      <c r="F127" s="679">
        <f t="shared" ref="F127" si="6">SUM(E127/D127*100)</f>
        <v>166.44628099173553</v>
      </c>
    </row>
    <row r="128" spans="1:6" customFormat="1" x14ac:dyDescent="0.2">
      <c r="A128" s="1486"/>
      <c r="B128" s="658" t="s">
        <v>71</v>
      </c>
      <c r="C128" s="678"/>
      <c r="D128" s="644"/>
      <c r="E128" s="644"/>
      <c r="F128" s="679"/>
    </row>
    <row r="129" spans="1:6" customFormat="1" ht="24" x14ac:dyDescent="0.2">
      <c r="A129" s="1486"/>
      <c r="B129" s="658" t="s">
        <v>68</v>
      </c>
      <c r="C129" s="678"/>
      <c r="D129" s="644"/>
      <c r="E129" s="644"/>
      <c r="F129" s="679"/>
    </row>
    <row r="130" spans="1:6" customFormat="1" ht="24" x14ac:dyDescent="0.2">
      <c r="A130" s="1486"/>
      <c r="B130" s="658" t="s">
        <v>59</v>
      </c>
      <c r="C130" s="678"/>
      <c r="D130" s="644"/>
      <c r="E130" s="644"/>
      <c r="F130" s="679"/>
    </row>
    <row r="131" spans="1:6" customFormat="1" ht="13.5" thickBot="1" x14ac:dyDescent="0.25">
      <c r="A131" s="1486"/>
      <c r="B131" s="658" t="s">
        <v>66</v>
      </c>
      <c r="C131" s="1325">
        <v>920000</v>
      </c>
      <c r="D131" s="1324">
        <v>920000</v>
      </c>
      <c r="E131" s="1324"/>
      <c r="F131" s="834"/>
    </row>
    <row r="132" spans="1:6" customFormat="1" ht="13.5" thickBot="1" x14ac:dyDescent="0.25">
      <c r="A132" s="1487"/>
      <c r="B132" s="670" t="s">
        <v>11</v>
      </c>
      <c r="C132" s="1320">
        <f>SUM(C124:C131)</f>
        <v>2098000</v>
      </c>
      <c r="D132" s="1334">
        <f>SUM(D124:D131)</f>
        <v>2219000</v>
      </c>
      <c r="E132" s="1334">
        <f>SUM(E124:E131)</f>
        <v>3941380</v>
      </c>
      <c r="F132" s="1310">
        <f>SUM(E132/D132*100)</f>
        <v>177.61964849031096</v>
      </c>
    </row>
    <row r="133" spans="1:6" customFormat="1" ht="24" x14ac:dyDescent="0.2">
      <c r="A133" s="1485" t="s">
        <v>107</v>
      </c>
      <c r="B133" s="671" t="s">
        <v>52</v>
      </c>
      <c r="C133" s="1124"/>
      <c r="D133" s="638"/>
      <c r="E133" s="639"/>
      <c r="F133" s="677"/>
    </row>
    <row r="134" spans="1:6" customFormat="1" ht="36" x14ac:dyDescent="0.2">
      <c r="A134" s="1486"/>
      <c r="B134" s="658" t="s">
        <v>57</v>
      </c>
      <c r="C134" s="1125"/>
      <c r="D134" s="643"/>
      <c r="E134" s="644"/>
      <c r="F134" s="679"/>
    </row>
    <row r="135" spans="1:6" customFormat="1" x14ac:dyDescent="0.2">
      <c r="A135" s="1486"/>
      <c r="B135" s="658" t="s">
        <v>70</v>
      </c>
      <c r="C135" s="1125"/>
      <c r="D135" s="643"/>
      <c r="E135" s="644"/>
      <c r="F135" s="679"/>
    </row>
    <row r="136" spans="1:6" customFormat="1" x14ac:dyDescent="0.2">
      <c r="A136" s="1486"/>
      <c r="B136" s="658" t="s">
        <v>50</v>
      </c>
      <c r="C136" s="1125"/>
      <c r="D136" s="643">
        <v>360018</v>
      </c>
      <c r="E136" s="644">
        <v>955816</v>
      </c>
      <c r="F136" s="679">
        <f>SUM(E136/D136*100)</f>
        <v>265.49116988595017</v>
      </c>
    </row>
    <row r="137" spans="1:6" customFormat="1" x14ac:dyDescent="0.2">
      <c r="A137" s="1486"/>
      <c r="B137" s="658" t="s">
        <v>71</v>
      </c>
      <c r="C137" s="1125"/>
      <c r="D137" s="643"/>
      <c r="E137" s="644"/>
      <c r="F137" s="679"/>
    </row>
    <row r="138" spans="1:6" customFormat="1" ht="24" x14ac:dyDescent="0.2">
      <c r="A138" s="1486"/>
      <c r="B138" s="658" t="s">
        <v>68</v>
      </c>
      <c r="C138" s="1125"/>
      <c r="D138" s="643"/>
      <c r="E138" s="644"/>
      <c r="F138" s="679"/>
    </row>
    <row r="139" spans="1:6" customFormat="1" ht="24" x14ac:dyDescent="0.2">
      <c r="A139" s="1486"/>
      <c r="B139" s="658" t="s">
        <v>59</v>
      </c>
      <c r="C139" s="1127"/>
      <c r="D139" s="643"/>
      <c r="E139" s="644"/>
      <c r="F139" s="679"/>
    </row>
    <row r="140" spans="1:6" customFormat="1" ht="13.5" thickBot="1" x14ac:dyDescent="0.25">
      <c r="A140" s="1486"/>
      <c r="B140" s="658" t="s">
        <v>66</v>
      </c>
      <c r="C140" s="1335"/>
      <c r="D140" s="843"/>
      <c r="E140" s="842"/>
      <c r="F140" s="1336"/>
    </row>
    <row r="141" spans="1:6" customFormat="1" ht="13.5" thickBot="1" x14ac:dyDescent="0.25">
      <c r="A141" s="1487"/>
      <c r="B141" s="1128" t="s">
        <v>11</v>
      </c>
      <c r="C141" s="1329">
        <f>SUM(C133:C140)</f>
        <v>0</v>
      </c>
      <c r="D141" s="1337">
        <f>SUM(D133:D140)</f>
        <v>360018</v>
      </c>
      <c r="E141" s="1337">
        <f>SUM(E133:E140)</f>
        <v>955816</v>
      </c>
      <c r="F141" s="1331">
        <f>SUM(E141/D141*100)</f>
        <v>265.49116988595017</v>
      </c>
    </row>
    <row r="142" spans="1:6" customFormat="1" ht="24" x14ac:dyDescent="0.2">
      <c r="A142" s="1485" t="s">
        <v>166</v>
      </c>
      <c r="B142" s="669" t="s">
        <v>52</v>
      </c>
      <c r="C142" s="1124"/>
      <c r="D142" s="638">
        <v>13421200</v>
      </c>
      <c r="E142" s="639">
        <v>13421200</v>
      </c>
      <c r="F142" s="677">
        <f>SUM(E142/D142*100)</f>
        <v>100</v>
      </c>
    </row>
    <row r="143" spans="1:6" customFormat="1" ht="36" x14ac:dyDescent="0.2">
      <c r="A143" s="1486"/>
      <c r="B143" s="658" t="s">
        <v>57</v>
      </c>
      <c r="C143" s="1125"/>
      <c r="D143" s="643"/>
      <c r="E143" s="644"/>
      <c r="F143" s="679"/>
    </row>
    <row r="144" spans="1:6" customFormat="1" x14ac:dyDescent="0.2">
      <c r="A144" s="1486"/>
      <c r="B144" s="658" t="s">
        <v>70</v>
      </c>
      <c r="C144" s="1125"/>
      <c r="D144" s="643"/>
      <c r="E144" s="644"/>
      <c r="F144" s="679"/>
    </row>
    <row r="145" spans="1:6" customFormat="1" x14ac:dyDescent="0.2">
      <c r="A145" s="1486"/>
      <c r="B145" s="658" t="s">
        <v>50</v>
      </c>
      <c r="C145" s="1125"/>
      <c r="D145" s="643">
        <v>203626</v>
      </c>
      <c r="E145" s="644">
        <v>218262</v>
      </c>
      <c r="F145" s="679">
        <f>SUM(E145/D145*100)</f>
        <v>107.18768723051085</v>
      </c>
    </row>
    <row r="146" spans="1:6" customFormat="1" x14ac:dyDescent="0.2">
      <c r="A146" s="1486"/>
      <c r="B146" s="658" t="s">
        <v>71</v>
      </c>
      <c r="C146" s="1125"/>
      <c r="D146" s="643"/>
      <c r="E146" s="644"/>
      <c r="F146" s="679"/>
    </row>
    <row r="147" spans="1:6" customFormat="1" ht="24" x14ac:dyDescent="0.2">
      <c r="A147" s="1486"/>
      <c r="B147" s="658" t="s">
        <v>68</v>
      </c>
      <c r="C147" s="1125"/>
      <c r="D147" s="643"/>
      <c r="E147" s="644"/>
      <c r="F147" s="679"/>
    </row>
    <row r="148" spans="1:6" customFormat="1" ht="24" x14ac:dyDescent="0.2">
      <c r="A148" s="1486"/>
      <c r="B148" s="658" t="s">
        <v>59</v>
      </c>
      <c r="C148" s="1127"/>
      <c r="D148" s="643"/>
      <c r="E148" s="644"/>
      <c r="F148" s="679"/>
    </row>
    <row r="149" spans="1:6" customFormat="1" ht="13.5" thickBot="1" x14ac:dyDescent="0.25">
      <c r="A149" s="1486"/>
      <c r="B149" s="658" t="s">
        <v>66</v>
      </c>
      <c r="C149" s="1322"/>
      <c r="D149" s="1323"/>
      <c r="E149" s="1324"/>
      <c r="F149" s="834"/>
    </row>
    <row r="150" spans="1:6" customFormat="1" ht="13.5" thickBot="1" x14ac:dyDescent="0.25">
      <c r="A150" s="1487"/>
      <c r="B150" s="647" t="s">
        <v>11</v>
      </c>
      <c r="C150" s="1309">
        <f>SUM(C142:C149)</f>
        <v>0</v>
      </c>
      <c r="D150" s="1321">
        <f>SUM(D142:D149)</f>
        <v>13624826</v>
      </c>
      <c r="E150" s="1321">
        <f>SUM(E142:E149)</f>
        <v>13639462</v>
      </c>
      <c r="F150" s="1310">
        <f>E150/D150*100</f>
        <v>100.10742155532849</v>
      </c>
    </row>
    <row r="151" spans="1:6" customFormat="1" ht="24" x14ac:dyDescent="0.2">
      <c r="A151" s="1485" t="s">
        <v>575</v>
      </c>
      <c r="B151" s="669" t="s">
        <v>52</v>
      </c>
      <c r="C151" s="1124"/>
      <c r="D151" s="638"/>
      <c r="E151" s="639">
        <v>53040</v>
      </c>
      <c r="F151" s="677"/>
    </row>
    <row r="152" spans="1:6" customFormat="1" ht="36" x14ac:dyDescent="0.2">
      <c r="A152" s="1486"/>
      <c r="B152" s="658" t="s">
        <v>57</v>
      </c>
      <c r="C152" s="1125"/>
      <c r="D152" s="643"/>
      <c r="E152" s="644"/>
      <c r="F152" s="679"/>
    </row>
    <row r="153" spans="1:6" customFormat="1" x14ac:dyDescent="0.2">
      <c r="A153" s="1486"/>
      <c r="B153" s="658" t="s">
        <v>70</v>
      </c>
      <c r="C153" s="1125"/>
      <c r="D153" s="643"/>
      <c r="E153" s="644"/>
      <c r="F153" s="679"/>
    </row>
    <row r="154" spans="1:6" customFormat="1" x14ac:dyDescent="0.2">
      <c r="A154" s="1486"/>
      <c r="B154" s="658" t="s">
        <v>50</v>
      </c>
      <c r="C154" s="1125"/>
      <c r="D154" s="643"/>
      <c r="E154" s="644"/>
      <c r="F154" s="679"/>
    </row>
    <row r="155" spans="1:6" customFormat="1" x14ac:dyDescent="0.2">
      <c r="A155" s="1486"/>
      <c r="B155" s="658" t="s">
        <v>71</v>
      </c>
      <c r="C155" s="1125"/>
      <c r="D155" s="643"/>
      <c r="E155" s="644"/>
      <c r="F155" s="679"/>
    </row>
    <row r="156" spans="1:6" customFormat="1" ht="24" x14ac:dyDescent="0.2">
      <c r="A156" s="1486"/>
      <c r="B156" s="658" t="s">
        <v>68</v>
      </c>
      <c r="C156" s="1125"/>
      <c r="D156" s="643"/>
      <c r="E156" s="644"/>
      <c r="F156" s="679"/>
    </row>
    <row r="157" spans="1:6" customFormat="1" ht="24" x14ac:dyDescent="0.2">
      <c r="A157" s="1486"/>
      <c r="B157" s="658" t="s">
        <v>59</v>
      </c>
      <c r="C157" s="1127"/>
      <c r="D157" s="643"/>
      <c r="E157" s="644"/>
      <c r="F157" s="679"/>
    </row>
    <row r="158" spans="1:6" customFormat="1" ht="13.5" thickBot="1" x14ac:dyDescent="0.25">
      <c r="A158" s="1486"/>
      <c r="B158" s="658" t="s">
        <v>66</v>
      </c>
      <c r="C158" s="1322"/>
      <c r="D158" s="1323"/>
      <c r="E158" s="1324"/>
      <c r="F158" s="834"/>
    </row>
    <row r="159" spans="1:6" customFormat="1" ht="13.5" thickBot="1" x14ac:dyDescent="0.25">
      <c r="A159" s="1487"/>
      <c r="B159" s="647" t="s">
        <v>11</v>
      </c>
      <c r="C159" s="1309">
        <f>SUM(C151:C158)</f>
        <v>0</v>
      </c>
      <c r="D159" s="1321">
        <f>SUM(D151:D158)</f>
        <v>0</v>
      </c>
      <c r="E159" s="1321">
        <f>SUM(E151:E158)</f>
        <v>53040</v>
      </c>
      <c r="F159" s="1310"/>
    </row>
    <row r="160" spans="1:6" customFormat="1" ht="24" x14ac:dyDescent="0.2">
      <c r="A160" s="1485" t="s">
        <v>470</v>
      </c>
      <c r="B160" s="669" t="s">
        <v>52</v>
      </c>
      <c r="C160" s="1124">
        <v>64000</v>
      </c>
      <c r="D160" s="638">
        <v>64000</v>
      </c>
      <c r="E160" s="639">
        <v>62400</v>
      </c>
      <c r="F160" s="677">
        <f>SUM(E160/D160*100)</f>
        <v>97.5</v>
      </c>
    </row>
    <row r="161" spans="1:6" customFormat="1" ht="36" x14ac:dyDescent="0.2">
      <c r="A161" s="1486"/>
      <c r="B161" s="658" t="s">
        <v>57</v>
      </c>
      <c r="C161" s="1125"/>
      <c r="D161" s="643"/>
      <c r="E161" s="644"/>
      <c r="F161" s="679"/>
    </row>
    <row r="162" spans="1:6" customFormat="1" x14ac:dyDescent="0.2">
      <c r="A162" s="1486"/>
      <c r="B162" s="658" t="s">
        <v>70</v>
      </c>
      <c r="C162" s="1125"/>
      <c r="D162" s="643"/>
      <c r="E162" s="644"/>
      <c r="F162" s="679"/>
    </row>
    <row r="163" spans="1:6" customFormat="1" x14ac:dyDescent="0.2">
      <c r="A163" s="1486"/>
      <c r="B163" s="658" t="s">
        <v>50</v>
      </c>
      <c r="C163" s="1125"/>
      <c r="D163" s="643"/>
      <c r="E163" s="644"/>
      <c r="F163" s="679"/>
    </row>
    <row r="164" spans="1:6" customFormat="1" x14ac:dyDescent="0.2">
      <c r="A164" s="1486"/>
      <c r="B164" s="658" t="s">
        <v>71</v>
      </c>
      <c r="C164" s="1125"/>
      <c r="D164" s="643"/>
      <c r="E164" s="644"/>
      <c r="F164" s="679"/>
    </row>
    <row r="165" spans="1:6" customFormat="1" ht="24" x14ac:dyDescent="0.2">
      <c r="A165" s="1486"/>
      <c r="B165" s="658" t="s">
        <v>68</v>
      </c>
      <c r="C165" s="1125"/>
      <c r="D165" s="643"/>
      <c r="E165" s="644"/>
      <c r="F165" s="679"/>
    </row>
    <row r="166" spans="1:6" customFormat="1" ht="24" x14ac:dyDescent="0.2">
      <c r="A166" s="1486"/>
      <c r="B166" s="658" t="s">
        <v>59</v>
      </c>
      <c r="C166" s="1127"/>
      <c r="D166" s="643"/>
      <c r="E166" s="644"/>
      <c r="F166" s="679"/>
    </row>
    <row r="167" spans="1:6" customFormat="1" ht="13.5" thickBot="1" x14ac:dyDescent="0.25">
      <c r="A167" s="1486"/>
      <c r="B167" s="658" t="s">
        <v>66</v>
      </c>
      <c r="C167" s="1322"/>
      <c r="D167" s="1323"/>
      <c r="E167" s="1324"/>
      <c r="F167" s="834"/>
    </row>
    <row r="168" spans="1:6" customFormat="1" ht="13.5" thickBot="1" x14ac:dyDescent="0.25">
      <c r="A168" s="1487"/>
      <c r="B168" s="647" t="s">
        <v>11</v>
      </c>
      <c r="C168" s="1309">
        <f>SUM(C160:C167)</f>
        <v>64000</v>
      </c>
      <c r="D168" s="1321">
        <f>SUM(D160:D167)</f>
        <v>64000</v>
      </c>
      <c r="E168" s="1321">
        <f>SUM(E160:E167)</f>
        <v>62400</v>
      </c>
      <c r="F168" s="1310">
        <f>E168/D168*100</f>
        <v>97.5</v>
      </c>
    </row>
    <row r="169" spans="1:6" customFormat="1" ht="24" x14ac:dyDescent="0.2">
      <c r="A169" s="1485" t="s">
        <v>471</v>
      </c>
      <c r="B169" s="669" t="s">
        <v>52</v>
      </c>
      <c r="C169" s="1124"/>
      <c r="D169" s="638"/>
      <c r="E169" s="639"/>
      <c r="F169" s="677"/>
    </row>
    <row r="170" spans="1:6" customFormat="1" ht="36" x14ac:dyDescent="0.2">
      <c r="A170" s="1486"/>
      <c r="B170" s="658" t="s">
        <v>57</v>
      </c>
      <c r="C170" s="1125"/>
      <c r="D170" s="643"/>
      <c r="E170" s="644"/>
      <c r="F170" s="679"/>
    </row>
    <row r="171" spans="1:6" customFormat="1" x14ac:dyDescent="0.2">
      <c r="A171" s="1486"/>
      <c r="B171" s="658" t="s">
        <v>70</v>
      </c>
      <c r="C171" s="1125"/>
      <c r="D171" s="643"/>
      <c r="E171" s="644"/>
      <c r="F171" s="679"/>
    </row>
    <row r="172" spans="1:6" customFormat="1" x14ac:dyDescent="0.2">
      <c r="A172" s="1486"/>
      <c r="B172" s="658" t="s">
        <v>50</v>
      </c>
      <c r="C172" s="1125"/>
      <c r="D172" s="643"/>
      <c r="E172" s="644"/>
      <c r="F172" s="679"/>
    </row>
    <row r="173" spans="1:6" customFormat="1" x14ac:dyDescent="0.2">
      <c r="A173" s="1486"/>
      <c r="B173" s="658" t="s">
        <v>71</v>
      </c>
      <c r="C173" s="1125"/>
      <c r="D173" s="643"/>
      <c r="E173" s="644"/>
      <c r="F173" s="679"/>
    </row>
    <row r="174" spans="1:6" customFormat="1" ht="24" x14ac:dyDescent="0.2">
      <c r="A174" s="1486"/>
      <c r="B174" s="658" t="s">
        <v>68</v>
      </c>
      <c r="C174" s="1125"/>
      <c r="D174" s="643"/>
      <c r="E174" s="644"/>
      <c r="F174" s="679"/>
    </row>
    <row r="175" spans="1:6" customFormat="1" ht="24" x14ac:dyDescent="0.2">
      <c r="A175" s="1486"/>
      <c r="B175" s="658" t="s">
        <v>59</v>
      </c>
      <c r="C175" s="1127"/>
      <c r="D175" s="643"/>
      <c r="E175" s="644"/>
      <c r="F175" s="679"/>
    </row>
    <row r="176" spans="1:6" customFormat="1" ht="13.5" thickBot="1" x14ac:dyDescent="0.25">
      <c r="A176" s="1486"/>
      <c r="B176" s="658" t="s">
        <v>66</v>
      </c>
      <c r="C176" s="1322">
        <v>20452</v>
      </c>
      <c r="D176" s="1323">
        <v>20452</v>
      </c>
      <c r="E176" s="1324"/>
      <c r="F176" s="834"/>
    </row>
    <row r="177" spans="1:6" customFormat="1" ht="13.5" thickBot="1" x14ac:dyDescent="0.25">
      <c r="A177" s="1487"/>
      <c r="B177" s="661" t="s">
        <v>11</v>
      </c>
      <c r="C177" s="1320">
        <f>SUM(C169:C176)</f>
        <v>20452</v>
      </c>
      <c r="D177" s="1321">
        <f>SUM(D169:D176)</f>
        <v>20452</v>
      </c>
      <c r="E177" s="1321">
        <f>SUM(E169:E176)</f>
        <v>0</v>
      </c>
      <c r="F177" s="1310"/>
    </row>
    <row r="178" spans="1:6" customFormat="1" ht="24" x14ac:dyDescent="0.2">
      <c r="A178" s="1485" t="s">
        <v>497</v>
      </c>
      <c r="B178" s="671" t="s">
        <v>52</v>
      </c>
      <c r="C178" s="1124"/>
      <c r="D178" s="638"/>
      <c r="E178" s="639"/>
      <c r="F178" s="640"/>
    </row>
    <row r="179" spans="1:6" customFormat="1" ht="36" x14ac:dyDescent="0.2">
      <c r="A179" s="1486"/>
      <c r="B179" s="658" t="s">
        <v>57</v>
      </c>
      <c r="C179" s="1125"/>
      <c r="D179" s="643"/>
      <c r="E179" s="644"/>
      <c r="F179" s="645"/>
    </row>
    <row r="180" spans="1:6" customFormat="1" x14ac:dyDescent="0.2">
      <c r="A180" s="1486"/>
      <c r="B180" s="658" t="s">
        <v>70</v>
      </c>
      <c r="C180" s="1125"/>
      <c r="D180" s="643"/>
      <c r="E180" s="644"/>
      <c r="F180" s="645"/>
    </row>
    <row r="181" spans="1:6" customFormat="1" x14ac:dyDescent="0.2">
      <c r="A181" s="1486"/>
      <c r="B181" s="658" t="s">
        <v>50</v>
      </c>
      <c r="C181" s="1125"/>
      <c r="D181" s="643"/>
      <c r="E181" s="644"/>
      <c r="F181" s="645"/>
    </row>
    <row r="182" spans="1:6" customFormat="1" x14ac:dyDescent="0.2">
      <c r="A182" s="1486"/>
      <c r="B182" s="658" t="s">
        <v>71</v>
      </c>
      <c r="C182" s="1125"/>
      <c r="D182" s="643"/>
      <c r="E182" s="644"/>
      <c r="F182" s="645"/>
    </row>
    <row r="183" spans="1:6" customFormat="1" ht="24" x14ac:dyDescent="0.2">
      <c r="A183" s="1486"/>
      <c r="B183" s="658" t="s">
        <v>68</v>
      </c>
      <c r="C183" s="1125"/>
      <c r="D183" s="643"/>
      <c r="E183" s="644"/>
      <c r="F183" s="645"/>
    </row>
    <row r="184" spans="1:6" customFormat="1" ht="24" x14ac:dyDescent="0.2">
      <c r="A184" s="1486"/>
      <c r="B184" s="658" t="s">
        <v>59</v>
      </c>
      <c r="C184" s="1127"/>
      <c r="D184" s="643"/>
      <c r="E184" s="644"/>
      <c r="F184" s="645"/>
    </row>
    <row r="185" spans="1:6" customFormat="1" ht="13.5" thickBot="1" x14ac:dyDescent="0.25">
      <c r="A185" s="1486"/>
      <c r="B185" s="658" t="s">
        <v>66</v>
      </c>
      <c r="C185" s="1322">
        <v>500000</v>
      </c>
      <c r="D185" s="1323">
        <v>500000</v>
      </c>
      <c r="E185" s="1324">
        <v>900000</v>
      </c>
      <c r="F185" s="1338">
        <f>E185/D185*100</f>
        <v>180</v>
      </c>
    </row>
    <row r="186" spans="1:6" customFormat="1" ht="13.5" thickBot="1" x14ac:dyDescent="0.25">
      <c r="A186" s="1487"/>
      <c r="B186" s="647" t="s">
        <v>11</v>
      </c>
      <c r="C186" s="1329">
        <f>SUM(C178:C185)</f>
        <v>500000</v>
      </c>
      <c r="D186" s="1337">
        <f>SUM(D178:D185)</f>
        <v>500000</v>
      </c>
      <c r="E186" s="1337">
        <f>SUM(E178:E185)</f>
        <v>900000</v>
      </c>
      <c r="F186" s="1331">
        <f>E186/D186*100</f>
        <v>180</v>
      </c>
    </row>
    <row r="187" spans="1:6" customFormat="1" ht="24" x14ac:dyDescent="0.2">
      <c r="A187" s="1485" t="s">
        <v>576</v>
      </c>
      <c r="B187" s="671" t="s">
        <v>52</v>
      </c>
      <c r="C187" s="1124"/>
      <c r="D187" s="638">
        <v>450000</v>
      </c>
      <c r="E187" s="639">
        <v>450000</v>
      </c>
      <c r="F187" s="993">
        <f>E187/D187*100</f>
        <v>100</v>
      </c>
    </row>
    <row r="188" spans="1:6" customFormat="1" ht="36" x14ac:dyDescent="0.2">
      <c r="A188" s="1486"/>
      <c r="B188" s="658" t="s">
        <v>57</v>
      </c>
      <c r="C188" s="1125"/>
      <c r="D188" s="643"/>
      <c r="E188" s="644"/>
      <c r="F188" s="645"/>
    </row>
    <row r="189" spans="1:6" customFormat="1" x14ac:dyDescent="0.2">
      <c r="A189" s="1486"/>
      <c r="B189" s="658" t="s">
        <v>70</v>
      </c>
      <c r="C189" s="1125"/>
      <c r="D189" s="643"/>
      <c r="E189" s="644"/>
      <c r="F189" s="645"/>
    </row>
    <row r="190" spans="1:6" customFormat="1" x14ac:dyDescent="0.2">
      <c r="A190" s="1486"/>
      <c r="B190" s="658" t="s">
        <v>50</v>
      </c>
      <c r="C190" s="1125"/>
      <c r="D190" s="643"/>
      <c r="E190" s="644"/>
      <c r="F190" s="645"/>
    </row>
    <row r="191" spans="1:6" customFormat="1" x14ac:dyDescent="0.2">
      <c r="A191" s="1486"/>
      <c r="B191" s="658" t="s">
        <v>71</v>
      </c>
      <c r="C191" s="1125"/>
      <c r="D191" s="643"/>
      <c r="E191" s="644"/>
      <c r="F191" s="645"/>
    </row>
    <row r="192" spans="1:6" customFormat="1" ht="24" x14ac:dyDescent="0.2">
      <c r="A192" s="1486"/>
      <c r="B192" s="658" t="s">
        <v>68</v>
      </c>
      <c r="C192" s="1125"/>
      <c r="D192" s="643"/>
      <c r="E192" s="644"/>
      <c r="F192" s="645"/>
    </row>
    <row r="193" spans="1:6" customFormat="1" ht="24" x14ac:dyDescent="0.2">
      <c r="A193" s="1486"/>
      <c r="B193" s="658" t="s">
        <v>59</v>
      </c>
      <c r="C193" s="1127"/>
      <c r="D193" s="643"/>
      <c r="E193" s="644"/>
      <c r="F193" s="645"/>
    </row>
    <row r="194" spans="1:6" customFormat="1" ht="13.5" thickBot="1" x14ac:dyDescent="0.25">
      <c r="A194" s="1486"/>
      <c r="B194" s="658" t="s">
        <v>66</v>
      </c>
      <c r="C194" s="1322"/>
      <c r="D194" s="1323"/>
      <c r="E194" s="1324"/>
      <c r="F194" s="1338"/>
    </row>
    <row r="195" spans="1:6" customFormat="1" ht="13.5" thickBot="1" x14ac:dyDescent="0.25">
      <c r="A195" s="1487"/>
      <c r="B195" s="647" t="s">
        <v>11</v>
      </c>
      <c r="C195" s="1309">
        <f>SUM(C187:C194)</f>
        <v>0</v>
      </c>
      <c r="D195" s="1321">
        <f>SUM(D187:D194)</f>
        <v>450000</v>
      </c>
      <c r="E195" s="1321">
        <f>SUM(E187:E194)</f>
        <v>450000</v>
      </c>
      <c r="F195" s="835">
        <f>E195/D195*100</f>
        <v>100</v>
      </c>
    </row>
    <row r="196" spans="1:6" customFormat="1" ht="24" x14ac:dyDescent="0.2">
      <c r="A196" s="1485" t="s">
        <v>577</v>
      </c>
      <c r="B196" s="641" t="s">
        <v>52</v>
      </c>
      <c r="C196" s="637"/>
      <c r="D196" s="638"/>
      <c r="E196" s="639"/>
      <c r="F196" s="640"/>
    </row>
    <row r="197" spans="1:6" customFormat="1" ht="36" x14ac:dyDescent="0.2">
      <c r="A197" s="1486"/>
      <c r="B197" s="641" t="s">
        <v>57</v>
      </c>
      <c r="C197" s="642"/>
      <c r="D197" s="643"/>
      <c r="E197" s="644"/>
      <c r="F197" s="645"/>
    </row>
    <row r="198" spans="1:6" customFormat="1" x14ac:dyDescent="0.2">
      <c r="A198" s="1486"/>
      <c r="B198" s="641" t="s">
        <v>70</v>
      </c>
      <c r="C198" s="642"/>
      <c r="D198" s="643"/>
      <c r="E198" s="644"/>
      <c r="F198" s="645"/>
    </row>
    <row r="199" spans="1:6" customFormat="1" x14ac:dyDescent="0.2">
      <c r="A199" s="1486"/>
      <c r="B199" s="641" t="s">
        <v>50</v>
      </c>
      <c r="C199" s="642"/>
      <c r="D199" s="643"/>
      <c r="E199" s="644">
        <v>97900</v>
      </c>
      <c r="F199" s="645"/>
    </row>
    <row r="200" spans="1:6" customFormat="1" x14ac:dyDescent="0.2">
      <c r="A200" s="1486"/>
      <c r="B200" s="641" t="s">
        <v>71</v>
      </c>
      <c r="C200" s="642"/>
      <c r="D200" s="643"/>
      <c r="E200" s="644"/>
      <c r="F200" s="645"/>
    </row>
    <row r="201" spans="1:6" customFormat="1" ht="24" x14ac:dyDescent="0.2">
      <c r="A201" s="1486"/>
      <c r="B201" s="641" t="s">
        <v>68</v>
      </c>
      <c r="C201" s="642"/>
      <c r="D201" s="643"/>
      <c r="E201" s="644">
        <v>50000</v>
      </c>
      <c r="F201" s="645"/>
    </row>
    <row r="202" spans="1:6" customFormat="1" ht="24" x14ac:dyDescent="0.2">
      <c r="A202" s="1486"/>
      <c r="B202" s="641" t="s">
        <v>59</v>
      </c>
      <c r="C202" s="646"/>
      <c r="D202" s="643"/>
      <c r="E202" s="644"/>
      <c r="F202" s="645"/>
    </row>
    <row r="203" spans="1:6" customFormat="1" x14ac:dyDescent="0.2">
      <c r="A203" s="1486"/>
      <c r="B203" s="641" t="s">
        <v>66</v>
      </c>
      <c r="C203" s="642"/>
      <c r="D203" s="643"/>
      <c r="E203" s="644"/>
      <c r="F203" s="645"/>
    </row>
    <row r="204" spans="1:6" customFormat="1" ht="13.5" thickBot="1" x14ac:dyDescent="0.25">
      <c r="A204" s="1487"/>
      <c r="B204" s="647" t="s">
        <v>11</v>
      </c>
      <c r="C204" s="648">
        <f>SUM(C196:C203)</f>
        <v>0</v>
      </c>
      <c r="D204" s="649">
        <f>SUM(D196:D203)</f>
        <v>0</v>
      </c>
      <c r="E204" s="649">
        <f>SUM(E196:E203)</f>
        <v>147900</v>
      </c>
      <c r="F204" s="650"/>
    </row>
    <row r="205" spans="1:6" customFormat="1" ht="16.5" thickBot="1" x14ac:dyDescent="0.3">
      <c r="A205" s="1342" t="s">
        <v>72</v>
      </c>
      <c r="B205" s="672" t="s">
        <v>151</v>
      </c>
      <c r="C205" s="673" t="s">
        <v>147</v>
      </c>
      <c r="D205" s="674" t="s">
        <v>152</v>
      </c>
      <c r="E205" s="674" t="s">
        <v>149</v>
      </c>
      <c r="F205" s="675" t="s">
        <v>150</v>
      </c>
    </row>
    <row r="206" spans="1:6" customFormat="1" ht="24" x14ac:dyDescent="0.2">
      <c r="A206" s="1485" t="s">
        <v>427</v>
      </c>
      <c r="B206" s="636" t="s">
        <v>52</v>
      </c>
      <c r="C206" s="637"/>
      <c r="D206" s="638"/>
      <c r="E206" s="639"/>
      <c r="F206" s="645"/>
    </row>
    <row r="207" spans="1:6" customFormat="1" ht="36" x14ac:dyDescent="0.2">
      <c r="A207" s="1486"/>
      <c r="B207" s="641" t="s">
        <v>57</v>
      </c>
      <c r="C207" s="642"/>
      <c r="D207" s="643"/>
      <c r="E207" s="644"/>
      <c r="F207" s="645"/>
    </row>
    <row r="208" spans="1:6" customFormat="1" x14ac:dyDescent="0.2">
      <c r="A208" s="1486"/>
      <c r="B208" s="641" t="s">
        <v>70</v>
      </c>
      <c r="C208" s="642"/>
      <c r="D208" s="643"/>
      <c r="E208" s="644"/>
      <c r="F208" s="645"/>
    </row>
    <row r="209" spans="1:6" customFormat="1" x14ac:dyDescent="0.2">
      <c r="A209" s="1486"/>
      <c r="B209" s="641" t="s">
        <v>50</v>
      </c>
      <c r="C209" s="642">
        <v>2540</v>
      </c>
      <c r="D209" s="643">
        <v>2540</v>
      </c>
      <c r="E209" s="644">
        <v>1995</v>
      </c>
      <c r="F209" s="645">
        <f>E209/D209*100</f>
        <v>78.543307086614178</v>
      </c>
    </row>
    <row r="210" spans="1:6" customFormat="1" x14ac:dyDescent="0.2">
      <c r="A210" s="1486"/>
      <c r="B210" s="641" t="s">
        <v>71</v>
      </c>
      <c r="C210" s="642"/>
      <c r="D210" s="643"/>
      <c r="E210" s="644"/>
      <c r="F210" s="645"/>
    </row>
    <row r="211" spans="1:6" customFormat="1" ht="24" x14ac:dyDescent="0.2">
      <c r="A211" s="1486"/>
      <c r="B211" s="641" t="s">
        <v>68</v>
      </c>
      <c r="C211" s="642"/>
      <c r="D211" s="643"/>
      <c r="E211" s="644"/>
      <c r="F211" s="645"/>
    </row>
    <row r="212" spans="1:6" customFormat="1" ht="24" x14ac:dyDescent="0.2">
      <c r="A212" s="1486"/>
      <c r="B212" s="641" t="s">
        <v>59</v>
      </c>
      <c r="C212" s="646"/>
      <c r="D212" s="643"/>
      <c r="E212" s="644"/>
      <c r="F212" s="645"/>
    </row>
    <row r="213" spans="1:6" customFormat="1" ht="13.5" thickBot="1" x14ac:dyDescent="0.25">
      <c r="A213" s="1486"/>
      <c r="B213" s="838" t="s">
        <v>66</v>
      </c>
      <c r="C213" s="840"/>
      <c r="D213" s="843"/>
      <c r="E213" s="842"/>
      <c r="F213" s="836"/>
    </row>
    <row r="214" spans="1:6" customFormat="1" ht="13.5" thickBot="1" x14ac:dyDescent="0.25">
      <c r="A214" s="1487"/>
      <c r="B214" s="839" t="s">
        <v>11</v>
      </c>
      <c r="C214" s="841">
        <f>SUM(C206:C213)</f>
        <v>2540</v>
      </c>
      <c r="D214" s="837">
        <f>SUM(D206:D213)</f>
        <v>2540</v>
      </c>
      <c r="E214" s="837">
        <f>SUM(E206:E213)</f>
        <v>1995</v>
      </c>
      <c r="F214" s="837">
        <f>E214/D214*100</f>
        <v>78.543307086614178</v>
      </c>
    </row>
    <row r="215" spans="1:6" customFormat="1" ht="24" x14ac:dyDescent="0.2">
      <c r="A215" s="1485" t="s">
        <v>429</v>
      </c>
      <c r="B215" s="636" t="s">
        <v>52</v>
      </c>
      <c r="C215" s="637"/>
      <c r="D215" s="638"/>
      <c r="E215" s="639"/>
      <c r="F215" s="667"/>
    </row>
    <row r="216" spans="1:6" customFormat="1" ht="36" x14ac:dyDescent="0.2">
      <c r="A216" s="1486"/>
      <c r="B216" s="641" t="s">
        <v>57</v>
      </c>
      <c r="C216" s="642"/>
      <c r="D216" s="643"/>
      <c r="E216" s="644"/>
      <c r="F216" s="645"/>
    </row>
    <row r="217" spans="1:6" customFormat="1" x14ac:dyDescent="0.2">
      <c r="A217" s="1486"/>
      <c r="B217" s="641" t="s">
        <v>70</v>
      </c>
      <c r="C217" s="642"/>
      <c r="D217" s="643"/>
      <c r="E217" s="644"/>
      <c r="F217" s="645"/>
    </row>
    <row r="218" spans="1:6" customFormat="1" x14ac:dyDescent="0.2">
      <c r="A218" s="1486"/>
      <c r="B218" s="641" t="s">
        <v>50</v>
      </c>
      <c r="C218" s="642"/>
      <c r="D218" s="643"/>
      <c r="E218" s="644"/>
      <c r="F218" s="645"/>
    </row>
    <row r="219" spans="1:6" customFormat="1" x14ac:dyDescent="0.2">
      <c r="A219" s="1486"/>
      <c r="B219" s="641" t="s">
        <v>71</v>
      </c>
      <c r="C219" s="642"/>
      <c r="D219" s="643"/>
      <c r="E219" s="644"/>
      <c r="F219" s="645"/>
    </row>
    <row r="220" spans="1:6" customFormat="1" ht="24" x14ac:dyDescent="0.2">
      <c r="A220" s="1486"/>
      <c r="B220" s="641" t="s">
        <v>68</v>
      </c>
      <c r="C220" s="642">
        <v>204000</v>
      </c>
      <c r="D220" s="643">
        <v>5688036</v>
      </c>
      <c r="E220" s="644">
        <v>5048097</v>
      </c>
      <c r="F220" s="645">
        <f>E220/D220*100</f>
        <v>88.749385552412122</v>
      </c>
    </row>
    <row r="221" spans="1:6" customFormat="1" ht="24" x14ac:dyDescent="0.2">
      <c r="A221" s="1486"/>
      <c r="B221" s="641" t="s">
        <v>59</v>
      </c>
      <c r="C221" s="646"/>
      <c r="D221" s="643"/>
      <c r="E221" s="644"/>
      <c r="F221" s="645"/>
    </row>
    <row r="222" spans="1:6" customFormat="1" ht="13.5" thickBot="1" x14ac:dyDescent="0.25">
      <c r="A222" s="1486"/>
      <c r="B222" s="838" t="s">
        <v>66</v>
      </c>
      <c r="C222" s="840"/>
      <c r="D222" s="843"/>
      <c r="E222" s="842"/>
      <c r="F222" s="836"/>
    </row>
    <row r="223" spans="1:6" customFormat="1" ht="13.5" thickBot="1" x14ac:dyDescent="0.25">
      <c r="A223" s="1487"/>
      <c r="B223" s="839" t="s">
        <v>11</v>
      </c>
      <c r="C223" s="841">
        <f>SUM(C215:C222)</f>
        <v>204000</v>
      </c>
      <c r="D223" s="1339">
        <f>SUM(D215:D222)</f>
        <v>5688036</v>
      </c>
      <c r="E223" s="837">
        <f>SUM(E215:E222)</f>
        <v>5048097</v>
      </c>
      <c r="F223" s="837">
        <f>E223/D223*100</f>
        <v>88.749385552412122</v>
      </c>
    </row>
    <row r="224" spans="1:6" customFormat="1" ht="24" x14ac:dyDescent="0.2">
      <c r="A224" s="1485" t="s">
        <v>428</v>
      </c>
      <c r="B224" s="636" t="s">
        <v>52</v>
      </c>
      <c r="C224" s="664"/>
      <c r="D224" s="665"/>
      <c r="E224" s="666"/>
      <c r="F224" s="667"/>
    </row>
    <row r="225" spans="1:6" customFormat="1" ht="36" x14ac:dyDescent="0.2">
      <c r="A225" s="1486"/>
      <c r="B225" s="641" t="s">
        <v>57</v>
      </c>
      <c r="C225" s="642"/>
      <c r="D225" s="643"/>
      <c r="E225" s="644"/>
      <c r="F225" s="667"/>
    </row>
    <row r="226" spans="1:6" customFormat="1" x14ac:dyDescent="0.2">
      <c r="A226" s="1486"/>
      <c r="B226" s="641" t="s">
        <v>70</v>
      </c>
      <c r="C226" s="642">
        <v>82386000</v>
      </c>
      <c r="D226" s="643">
        <v>82386000</v>
      </c>
      <c r="E226" s="644">
        <v>79516774</v>
      </c>
      <c r="F226" s="667">
        <f t="shared" ref="F226" si="7">E226/D226%</f>
        <v>96.51733789721554</v>
      </c>
    </row>
    <row r="227" spans="1:6" customFormat="1" x14ac:dyDescent="0.2">
      <c r="A227" s="1486"/>
      <c r="B227" s="641" t="s">
        <v>50</v>
      </c>
      <c r="C227" s="642"/>
      <c r="D227" s="643"/>
      <c r="E227" s="644">
        <v>13747</v>
      </c>
      <c r="F227" s="645"/>
    </row>
    <row r="228" spans="1:6" customFormat="1" x14ac:dyDescent="0.2">
      <c r="A228" s="1486"/>
      <c r="B228" s="641" t="s">
        <v>71</v>
      </c>
      <c r="C228" s="642"/>
      <c r="D228" s="643"/>
      <c r="E228" s="644"/>
      <c r="F228" s="645"/>
    </row>
    <row r="229" spans="1:6" customFormat="1" ht="24" x14ac:dyDescent="0.2">
      <c r="A229" s="1486"/>
      <c r="B229" s="641" t="s">
        <v>68</v>
      </c>
      <c r="C229" s="642"/>
      <c r="D229" s="643"/>
      <c r="E229" s="644"/>
      <c r="F229" s="645"/>
    </row>
    <row r="230" spans="1:6" customFormat="1" ht="24" x14ac:dyDescent="0.2">
      <c r="A230" s="1486"/>
      <c r="B230" s="641" t="s">
        <v>59</v>
      </c>
      <c r="C230" s="646"/>
      <c r="D230" s="643"/>
      <c r="E230" s="644"/>
      <c r="F230" s="645"/>
    </row>
    <row r="231" spans="1:6" customFormat="1" ht="13.5" thickBot="1" x14ac:dyDescent="0.25">
      <c r="A231" s="1486"/>
      <c r="B231" s="838" t="s">
        <v>66</v>
      </c>
      <c r="C231" s="840"/>
      <c r="D231" s="843"/>
      <c r="E231" s="842"/>
      <c r="F231" s="836"/>
    </row>
    <row r="232" spans="1:6" customFormat="1" ht="13.5" thickBot="1" x14ac:dyDescent="0.25">
      <c r="A232" s="1487"/>
      <c r="B232" s="839" t="s">
        <v>11</v>
      </c>
      <c r="C232" s="841">
        <f>SUM(C224:C231)</f>
        <v>82386000</v>
      </c>
      <c r="D232" s="1339">
        <f>SUM(D224:D231)</f>
        <v>82386000</v>
      </c>
      <c r="E232" s="837">
        <f>SUM(E224:E231)</f>
        <v>79530521</v>
      </c>
      <c r="F232" s="837">
        <f>E232/D232*100</f>
        <v>96.534023984657594</v>
      </c>
    </row>
    <row r="233" spans="1:6" customFormat="1" ht="24" x14ac:dyDescent="0.2">
      <c r="A233" s="1485" t="s">
        <v>75</v>
      </c>
      <c r="B233" s="636" t="s">
        <v>52</v>
      </c>
      <c r="C233" s="637"/>
      <c r="D233" s="638"/>
      <c r="E233" s="639"/>
      <c r="F233" s="667"/>
    </row>
    <row r="234" spans="1:6" customFormat="1" ht="36" x14ac:dyDescent="0.2">
      <c r="A234" s="1486"/>
      <c r="B234" s="641" t="s">
        <v>57</v>
      </c>
      <c r="C234" s="642"/>
      <c r="D234" s="643"/>
      <c r="E234" s="644"/>
      <c r="F234" s="645"/>
    </row>
    <row r="235" spans="1:6" customFormat="1" x14ac:dyDescent="0.2">
      <c r="A235" s="1486"/>
      <c r="B235" s="641" t="s">
        <v>70</v>
      </c>
      <c r="C235" s="642"/>
      <c r="D235" s="643"/>
      <c r="E235" s="644"/>
      <c r="F235" s="645"/>
    </row>
    <row r="236" spans="1:6" customFormat="1" x14ac:dyDescent="0.2">
      <c r="A236" s="1486"/>
      <c r="B236" s="641" t="s">
        <v>50</v>
      </c>
      <c r="C236" s="642"/>
      <c r="D236" s="643"/>
      <c r="E236" s="644">
        <v>1</v>
      </c>
      <c r="F236" s="645"/>
    </row>
    <row r="237" spans="1:6" customFormat="1" x14ac:dyDescent="0.2">
      <c r="A237" s="1486"/>
      <c r="B237" s="641" t="s">
        <v>71</v>
      </c>
      <c r="C237" s="642"/>
      <c r="D237" s="643"/>
      <c r="E237" s="644"/>
      <c r="F237" s="645"/>
    </row>
    <row r="238" spans="1:6" customFormat="1" ht="24" x14ac:dyDescent="0.2">
      <c r="A238" s="1486"/>
      <c r="B238" s="641" t="s">
        <v>68</v>
      </c>
      <c r="C238" s="642"/>
      <c r="D238" s="643"/>
      <c r="E238" s="644"/>
      <c r="F238" s="645"/>
    </row>
    <row r="239" spans="1:6" customFormat="1" ht="24" x14ac:dyDescent="0.2">
      <c r="A239" s="1486"/>
      <c r="B239" s="641" t="s">
        <v>59</v>
      </c>
      <c r="C239" s="646"/>
      <c r="D239" s="643"/>
      <c r="E239" s="644"/>
      <c r="F239" s="645"/>
    </row>
    <row r="240" spans="1:6" customFormat="1" ht="13.5" thickBot="1" x14ac:dyDescent="0.25">
      <c r="A240" s="1486"/>
      <c r="B240" s="838" t="s">
        <v>66</v>
      </c>
      <c r="C240" s="840">
        <v>93203667</v>
      </c>
      <c r="D240" s="843">
        <v>84313667</v>
      </c>
      <c r="E240" s="842"/>
      <c r="F240" s="645">
        <f>E240/D240*100</f>
        <v>0</v>
      </c>
    </row>
    <row r="241" spans="1:6" customFormat="1" ht="13.5" thickBot="1" x14ac:dyDescent="0.25">
      <c r="A241" s="1487"/>
      <c r="B241" s="839" t="s">
        <v>11</v>
      </c>
      <c r="C241" s="841">
        <f>SUM(C233:C240)</f>
        <v>93203667</v>
      </c>
      <c r="D241" s="837">
        <f>SUM(D233:D240)</f>
        <v>84313667</v>
      </c>
      <c r="E241" s="837">
        <f>SUM(E233:E240)</f>
        <v>1</v>
      </c>
      <c r="F241" s="837">
        <f>E241/D241*100</f>
        <v>1.186047334413767E-6</v>
      </c>
    </row>
    <row r="242" spans="1:6" customFormat="1" ht="24" x14ac:dyDescent="0.2">
      <c r="A242" s="1485" t="s">
        <v>11</v>
      </c>
      <c r="B242" s="654" t="s">
        <v>52</v>
      </c>
      <c r="C242" s="844">
        <f>C5+C14+C23+C32+C41+C51+C60+C69+C78+C87+C96+C105+C124+C133+C142+C151+C160+C169+C178+C187+C196+C206+C215+C224+C233</f>
        <v>345067702</v>
      </c>
      <c r="D242" s="844">
        <f>D5+D14+D23+D32+D41+D51+D60+D69+D78+D87+D96+D105+D124+D133+D142+D151+D160+D169+D178+D187+D196+D206+D215+D224+D233+D115</f>
        <v>762649905</v>
      </c>
      <c r="E242" s="844">
        <f t="shared" ref="E242" si="8">E5+E14+E23+E32+E41+E51+E60+E69+E78+E87+E96+E105+E124+E133+E142+E151+E160+E169+E178+E187+E196+E206+E215+E224+E233</f>
        <v>732810579</v>
      </c>
      <c r="F242" s="835">
        <f>E242/D242*100</f>
        <v>96.087414971880179</v>
      </c>
    </row>
    <row r="243" spans="1:6" customFormat="1" ht="36" x14ac:dyDescent="0.2">
      <c r="A243" s="1486"/>
      <c r="B243" s="641" t="s">
        <v>57</v>
      </c>
      <c r="C243" s="844">
        <f t="shared" ref="C243:E249" si="9">C6+C15+C24+C33+C42+C52+C61+C70+C79+C88+C97+C106+C125+C134+C143+C152+C161+C170+C179+C188+C197+C207+C216+C225+C234</f>
        <v>2211232878</v>
      </c>
      <c r="D243" s="844">
        <f t="shared" ref="D243:D249" si="10">D6+D15+D24+D33+D42+D52+D61+D70+D79+D88+D97+D106+D125+D134+D143+D152+D161+D170+D179+D188+D197+D207+D216+D225+D234+D116</f>
        <v>2233189249</v>
      </c>
      <c r="E243" s="844">
        <f t="shared" si="9"/>
        <v>1005277376</v>
      </c>
      <c r="F243" s="835">
        <f t="shared" ref="F243:F250" si="11">E243/D243*100</f>
        <v>45.015324001320231</v>
      </c>
    </row>
    <row r="244" spans="1:6" customFormat="1" x14ac:dyDescent="0.2">
      <c r="A244" s="1486"/>
      <c r="B244" s="641" t="s">
        <v>70</v>
      </c>
      <c r="C244" s="844">
        <f t="shared" si="9"/>
        <v>82386000</v>
      </c>
      <c r="D244" s="844">
        <f t="shared" si="10"/>
        <v>82386000</v>
      </c>
      <c r="E244" s="844">
        <f t="shared" si="9"/>
        <v>79516774</v>
      </c>
      <c r="F244" s="835"/>
    </row>
    <row r="245" spans="1:6" customFormat="1" x14ac:dyDescent="0.2">
      <c r="A245" s="1486"/>
      <c r="B245" s="641" t="s">
        <v>50</v>
      </c>
      <c r="C245" s="844">
        <f t="shared" si="9"/>
        <v>44080360</v>
      </c>
      <c r="D245" s="844">
        <f t="shared" si="10"/>
        <v>80121352</v>
      </c>
      <c r="E245" s="844">
        <f t="shared" si="9"/>
        <v>72020564</v>
      </c>
      <c r="F245" s="835">
        <f t="shared" si="11"/>
        <v>89.889351842190578</v>
      </c>
    </row>
    <row r="246" spans="1:6" customFormat="1" x14ac:dyDescent="0.2">
      <c r="A246" s="1486"/>
      <c r="B246" s="641" t="s">
        <v>71</v>
      </c>
      <c r="C246" s="844">
        <f t="shared" si="9"/>
        <v>5179650</v>
      </c>
      <c r="D246" s="844">
        <f t="shared" si="10"/>
        <v>11762468</v>
      </c>
      <c r="E246" s="844">
        <f t="shared" si="9"/>
        <v>3046456</v>
      </c>
      <c r="F246" s="835">
        <f t="shared" si="11"/>
        <v>25.899802660462072</v>
      </c>
    </row>
    <row r="247" spans="1:6" customFormat="1" ht="24" x14ac:dyDescent="0.2">
      <c r="A247" s="1486"/>
      <c r="B247" s="641" t="s">
        <v>68</v>
      </c>
      <c r="C247" s="844">
        <f t="shared" si="9"/>
        <v>8038004</v>
      </c>
      <c r="D247" s="844">
        <f t="shared" si="10"/>
        <v>13522040</v>
      </c>
      <c r="E247" s="844">
        <f t="shared" si="9"/>
        <v>13132101</v>
      </c>
      <c r="F247" s="835">
        <f t="shared" si="11"/>
        <v>97.116270917701769</v>
      </c>
    </row>
    <row r="248" spans="1:6" customFormat="1" ht="24" x14ac:dyDescent="0.2">
      <c r="A248" s="1486"/>
      <c r="B248" s="641" t="s">
        <v>59</v>
      </c>
      <c r="C248" s="844">
        <f t="shared" si="9"/>
        <v>0</v>
      </c>
      <c r="D248" s="844">
        <f t="shared" si="10"/>
        <v>0</v>
      </c>
      <c r="E248" s="844">
        <f t="shared" si="9"/>
        <v>0</v>
      </c>
      <c r="F248" s="835"/>
    </row>
    <row r="249" spans="1:6" customFormat="1" ht="13.5" thickBot="1" x14ac:dyDescent="0.25">
      <c r="A249" s="1486"/>
      <c r="B249" s="838" t="s">
        <v>66</v>
      </c>
      <c r="C249" s="844">
        <f t="shared" si="9"/>
        <v>237240205</v>
      </c>
      <c r="D249" s="844">
        <f t="shared" si="10"/>
        <v>243766161</v>
      </c>
      <c r="E249" s="844">
        <f t="shared" si="9"/>
        <v>181832150</v>
      </c>
      <c r="F249" s="1310">
        <f t="shared" si="11"/>
        <v>74.592859506861572</v>
      </c>
    </row>
    <row r="250" spans="1:6" customFormat="1" ht="13.5" thickBot="1" x14ac:dyDescent="0.25">
      <c r="A250" s="1487"/>
      <c r="B250" s="839" t="s">
        <v>11</v>
      </c>
      <c r="C250" s="1311">
        <f>SUM(C242:C249)</f>
        <v>2933224799</v>
      </c>
      <c r="D250" s="1311">
        <f t="shared" ref="D250:E250" si="12">SUM(D242:D249)</f>
        <v>3427397175</v>
      </c>
      <c r="E250" s="1311">
        <f t="shared" si="12"/>
        <v>2087636000</v>
      </c>
      <c r="F250" s="1312">
        <f t="shared" si="11"/>
        <v>60.910244521048249</v>
      </c>
    </row>
  </sheetData>
  <mergeCells count="28">
    <mergeCell ref="A96:A104"/>
    <mergeCell ref="A1:G1"/>
    <mergeCell ref="A5:A13"/>
    <mergeCell ref="A14:A22"/>
    <mergeCell ref="A23:A31"/>
    <mergeCell ref="A32:A40"/>
    <mergeCell ref="A41:A49"/>
    <mergeCell ref="A51:A59"/>
    <mergeCell ref="A60:A68"/>
    <mergeCell ref="A69:A77"/>
    <mergeCell ref="A78:A86"/>
    <mergeCell ref="A87:A95"/>
    <mergeCell ref="A105:A113"/>
    <mergeCell ref="A115:A123"/>
    <mergeCell ref="A124:A132"/>
    <mergeCell ref="A133:A141"/>
    <mergeCell ref="A142:A150"/>
    <mergeCell ref="A233:A241"/>
    <mergeCell ref="A242:A250"/>
    <mergeCell ref="A151:A159"/>
    <mergeCell ref="A160:A168"/>
    <mergeCell ref="A169:A177"/>
    <mergeCell ref="A178:A186"/>
    <mergeCell ref="A187:A195"/>
    <mergeCell ref="A196:A204"/>
    <mergeCell ref="A206:A214"/>
    <mergeCell ref="A215:A223"/>
    <mergeCell ref="A224:A232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&amp;R1.1.sz. melléklete
......../2019.(V.30.) Egyek Önk.</oddHeader>
  </headerFooter>
  <rowBreaks count="4" manualBreakCount="4">
    <brk id="49" max="6" man="1"/>
    <brk id="113" max="6" man="1"/>
    <brk id="168" max="6" man="1"/>
    <brk id="187" max="6" man="1"/>
  </rowBreaks>
  <colBreaks count="1" manualBreakCount="1">
    <brk id="7" max="158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26"/>
  <sheetViews>
    <sheetView zoomScale="130" zoomScaleNormal="130" workbookViewId="0">
      <selection activeCell="L29" sqref="L29"/>
    </sheetView>
  </sheetViews>
  <sheetFormatPr defaultColWidth="9.140625" defaultRowHeight="12.75" x14ac:dyDescent="0.2"/>
  <cols>
    <col min="1" max="6" width="9.140625" style="429"/>
    <col min="7" max="7" width="12.5703125" style="429" customWidth="1"/>
    <col min="8" max="8" width="14.28515625" style="429" customWidth="1"/>
    <col min="9" max="9" width="15.28515625" style="429" customWidth="1"/>
    <col min="10" max="16384" width="9.140625" style="429"/>
  </cols>
  <sheetData>
    <row r="4" spans="2:9" ht="15.75" x14ac:dyDescent="0.25">
      <c r="B4" s="1663"/>
      <c r="C4" s="1663"/>
      <c r="D4" s="1663"/>
      <c r="E4" s="1663"/>
      <c r="F4" s="1663"/>
      <c r="G4" s="1663"/>
      <c r="H4" s="1663"/>
    </row>
    <row r="5" spans="2:9" ht="15.75" x14ac:dyDescent="0.25">
      <c r="B5" s="1663"/>
      <c r="C5" s="1663"/>
      <c r="D5" s="1663"/>
      <c r="E5" s="1663"/>
      <c r="F5" s="1663"/>
      <c r="G5" s="1663"/>
      <c r="H5" s="1663"/>
    </row>
    <row r="7" spans="2:9" x14ac:dyDescent="0.2">
      <c r="B7" s="1679" t="s">
        <v>546</v>
      </c>
      <c r="C7" s="1679"/>
      <c r="D7" s="1679"/>
      <c r="E7" s="1679"/>
      <c r="F7" s="1679"/>
      <c r="G7" s="1679"/>
      <c r="H7" s="1679"/>
    </row>
    <row r="8" spans="2:9" x14ac:dyDescent="0.2">
      <c r="C8" s="433"/>
      <c r="D8" s="433"/>
      <c r="E8" s="433"/>
      <c r="F8" s="433"/>
      <c r="G8" s="433"/>
    </row>
    <row r="9" spans="2:9" x14ac:dyDescent="0.2">
      <c r="C9" s="434"/>
      <c r="D9" s="434"/>
      <c r="E9" s="434"/>
      <c r="F9" s="434"/>
      <c r="G9" s="434"/>
    </row>
    <row r="10" spans="2:9" ht="13.5" thickBot="1" x14ac:dyDescent="0.25">
      <c r="G10" s="1665" t="s">
        <v>184</v>
      </c>
      <c r="H10" s="1665"/>
    </row>
    <row r="11" spans="2:9" ht="13.5" thickBot="1" x14ac:dyDescent="0.25">
      <c r="B11" s="1666" t="s">
        <v>180</v>
      </c>
      <c r="C11" s="1666"/>
      <c r="D11" s="1666"/>
      <c r="E11" s="1666"/>
      <c r="F11" s="1666"/>
      <c r="G11" s="1667" t="s">
        <v>222</v>
      </c>
      <c r="H11" s="1667"/>
    </row>
    <row r="12" spans="2:9" x14ac:dyDescent="0.2">
      <c r="B12" s="1678" t="s">
        <v>550</v>
      </c>
      <c r="C12" s="1678"/>
      <c r="D12" s="1678"/>
      <c r="E12" s="1678"/>
      <c r="F12" s="1678"/>
      <c r="G12" s="1662">
        <f>SUM(G13+G14)</f>
        <v>186705</v>
      </c>
      <c r="H12" s="1662"/>
    </row>
    <row r="13" spans="2:9" x14ac:dyDescent="0.2">
      <c r="B13" s="1669" t="s">
        <v>223</v>
      </c>
      <c r="C13" s="1669"/>
      <c r="D13" s="1669"/>
      <c r="E13" s="1669"/>
      <c r="F13" s="1669"/>
      <c r="G13" s="1642">
        <v>0</v>
      </c>
      <c r="H13" s="1642"/>
    </row>
    <row r="14" spans="2:9" x14ac:dyDescent="0.2">
      <c r="B14" s="1669" t="s">
        <v>224</v>
      </c>
      <c r="C14" s="1669"/>
      <c r="D14" s="1669"/>
      <c r="E14" s="1669"/>
      <c r="F14" s="1669"/>
      <c r="G14" s="1642">
        <v>186705</v>
      </c>
      <c r="H14" s="1642"/>
    </row>
    <row r="15" spans="2:9" x14ac:dyDescent="0.2">
      <c r="B15" s="1675" t="s">
        <v>557</v>
      </c>
      <c r="C15" s="1676"/>
      <c r="D15" s="1676"/>
      <c r="E15" s="1676"/>
      <c r="F15" s="1677"/>
      <c r="G15" s="1654">
        <v>-7716</v>
      </c>
      <c r="H15" s="1655"/>
    </row>
    <row r="16" spans="2:9" s="431" customFormat="1" x14ac:dyDescent="0.2">
      <c r="B16" s="1686" t="s">
        <v>225</v>
      </c>
      <c r="C16" s="1687"/>
      <c r="D16" s="1687"/>
      <c r="E16" s="1687"/>
      <c r="F16" s="1688"/>
      <c r="G16" s="1647">
        <f>SUM(G17+G18)</f>
        <v>13159765</v>
      </c>
      <c r="H16" s="1647"/>
      <c r="I16" s="430"/>
    </row>
    <row r="17" spans="2:9" ht="27" customHeight="1" x14ac:dyDescent="0.2">
      <c r="B17" s="1672" t="s">
        <v>454</v>
      </c>
      <c r="C17" s="1673"/>
      <c r="D17" s="1673"/>
      <c r="E17" s="1673"/>
      <c r="F17" s="1674"/>
      <c r="G17" s="1642">
        <f>812177+12537836-190248</f>
        <v>13159765</v>
      </c>
      <c r="H17" s="1642"/>
      <c r="I17" s="430"/>
    </row>
    <row r="18" spans="2:9" ht="13.15" customHeight="1" x14ac:dyDescent="0.2">
      <c r="B18" s="1672" t="s">
        <v>462</v>
      </c>
      <c r="C18" s="1673"/>
      <c r="D18" s="1673"/>
      <c r="E18" s="1673"/>
      <c r="F18" s="1674"/>
      <c r="G18" s="1654">
        <v>0</v>
      </c>
      <c r="H18" s="1655"/>
      <c r="I18" s="430"/>
    </row>
    <row r="19" spans="2:9" s="431" customFormat="1" x14ac:dyDescent="0.2">
      <c r="B19" s="1686" t="s">
        <v>226</v>
      </c>
      <c r="C19" s="1687"/>
      <c r="D19" s="1687"/>
      <c r="E19" s="1687"/>
      <c r="F19" s="1688"/>
      <c r="G19" s="1647">
        <f>SUM(G20)</f>
        <v>13338754</v>
      </c>
      <c r="H19" s="1647"/>
      <c r="I19" s="430"/>
    </row>
    <row r="20" spans="2:9" x14ac:dyDescent="0.2">
      <c r="B20" s="1680" t="s">
        <v>314</v>
      </c>
      <c r="C20" s="1681"/>
      <c r="D20" s="1681"/>
      <c r="E20" s="1681"/>
      <c r="F20" s="1682"/>
      <c r="G20" s="1645">
        <v>13338754</v>
      </c>
      <c r="H20" s="1645"/>
      <c r="I20" s="430"/>
    </row>
    <row r="21" spans="2:9" x14ac:dyDescent="0.2">
      <c r="B21" s="1686" t="s">
        <v>227</v>
      </c>
      <c r="C21" s="1687"/>
      <c r="D21" s="1687"/>
      <c r="E21" s="1687"/>
      <c r="F21" s="1688"/>
      <c r="G21" s="1647">
        <f>SUM(G12+G15+G16-G19)</f>
        <v>0</v>
      </c>
      <c r="H21" s="1647"/>
      <c r="I21" s="432"/>
    </row>
    <row r="22" spans="2:9" x14ac:dyDescent="0.2">
      <c r="B22" s="1680" t="s">
        <v>223</v>
      </c>
      <c r="C22" s="1681"/>
      <c r="D22" s="1681"/>
      <c r="E22" s="1681"/>
      <c r="F22" s="1682"/>
      <c r="G22" s="1642">
        <v>0</v>
      </c>
      <c r="H22" s="1642"/>
    </row>
    <row r="23" spans="2:9" s="431" customFormat="1" ht="13.5" thickBot="1" x14ac:dyDescent="0.25">
      <c r="B23" s="1683" t="s">
        <v>224</v>
      </c>
      <c r="C23" s="1684"/>
      <c r="D23" s="1684"/>
      <c r="E23" s="1684"/>
      <c r="F23" s="1685"/>
      <c r="G23" s="1643">
        <v>0</v>
      </c>
      <c r="H23" s="1643"/>
    </row>
    <row r="26" spans="2:9" x14ac:dyDescent="0.2">
      <c r="G26" s="432"/>
    </row>
  </sheetData>
  <mergeCells count="30">
    <mergeCell ref="B12:F12"/>
    <mergeCell ref="G12:H12"/>
    <mergeCell ref="B13:F13"/>
    <mergeCell ref="G13:H13"/>
    <mergeCell ref="B14:F14"/>
    <mergeCell ref="G14:H14"/>
    <mergeCell ref="B4:H4"/>
    <mergeCell ref="B5:H5"/>
    <mergeCell ref="G10:H10"/>
    <mergeCell ref="B11:F11"/>
    <mergeCell ref="G11:H11"/>
    <mergeCell ref="B7:H7"/>
    <mergeCell ref="B15:F15"/>
    <mergeCell ref="G15:H15"/>
    <mergeCell ref="B16:F16"/>
    <mergeCell ref="G16:H16"/>
    <mergeCell ref="B19:F19"/>
    <mergeCell ref="G19:H19"/>
    <mergeCell ref="B18:F18"/>
    <mergeCell ref="G18:H18"/>
    <mergeCell ref="B17:F17"/>
    <mergeCell ref="G17:H17"/>
    <mergeCell ref="B20:F20"/>
    <mergeCell ref="G20:H20"/>
    <mergeCell ref="B23:F23"/>
    <mergeCell ref="G23:H23"/>
    <mergeCell ref="B21:F21"/>
    <mergeCell ref="G21:H21"/>
    <mergeCell ref="B22:F22"/>
    <mergeCell ref="G22:H22"/>
  </mergeCells>
  <pageMargins left="0.75" right="0.75" top="1" bottom="1" header="0.5" footer="0.51180555555555562"/>
  <pageSetup paperSize="9" scale="95" firstPageNumber="0" orientation="portrait" horizontalDpi="300" verticalDpi="300" r:id="rId1"/>
  <headerFooter alignWithMargins="0">
    <oddHeader>&amp;R14.3. sz. melléklet
........./2019.(V.30.) Egyek Önk. r.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0"/>
  <sheetViews>
    <sheetView topLeftCell="A16" zoomScale="110" zoomScaleNormal="110" workbookViewId="0">
      <selection activeCell="D28" sqref="D28:D29"/>
    </sheetView>
  </sheetViews>
  <sheetFormatPr defaultRowHeight="15" x14ac:dyDescent="0.25"/>
  <cols>
    <col min="1" max="1" width="9.140625" style="1226"/>
    <col min="2" max="2" width="20.5703125" style="1226" bestFit="1" customWidth="1"/>
    <col min="3" max="3" width="16.5703125" style="1212" customWidth="1"/>
    <col min="4" max="4" width="19.140625" style="1227" customWidth="1"/>
    <col min="5" max="5" width="17.28515625" style="1212" customWidth="1"/>
    <col min="6" max="6" width="17.7109375" style="1212" customWidth="1"/>
    <col min="7" max="7" width="14.85546875" style="1212" customWidth="1"/>
    <col min="8" max="8" width="17" style="1212" customWidth="1"/>
    <col min="9" max="9" width="19.28515625" style="1212" customWidth="1"/>
    <col min="10" max="10" width="17.140625" style="1212" customWidth="1"/>
    <col min="11" max="16384" width="9.140625" style="1212"/>
  </cols>
  <sheetData>
    <row r="2" spans="1:10" ht="39" customHeight="1" x14ac:dyDescent="0.25">
      <c r="A2" s="1693" t="s">
        <v>612</v>
      </c>
      <c r="B2" s="1693"/>
      <c r="C2" s="1693"/>
      <c r="D2" s="1693"/>
      <c r="E2" s="1693"/>
      <c r="F2" s="1693"/>
      <c r="G2" s="1693"/>
      <c r="H2" s="1693"/>
      <c r="I2" s="1693"/>
      <c r="J2" s="1693"/>
    </row>
    <row r="4" spans="1:10" s="1215" customFormat="1" ht="45" x14ac:dyDescent="0.2">
      <c r="A4" s="1213" t="s">
        <v>188</v>
      </c>
      <c r="B4" s="1213" t="s">
        <v>505</v>
      </c>
      <c r="C4" s="1213" t="s">
        <v>478</v>
      </c>
      <c r="D4" s="1213" t="s">
        <v>180</v>
      </c>
      <c r="E4" s="1213" t="s">
        <v>479</v>
      </c>
      <c r="F4" s="1213" t="s">
        <v>613</v>
      </c>
      <c r="G4" s="1213" t="s">
        <v>616</v>
      </c>
      <c r="H4" s="1214" t="s">
        <v>614</v>
      </c>
      <c r="I4" s="1213" t="s">
        <v>615</v>
      </c>
      <c r="J4" s="1213" t="s">
        <v>480</v>
      </c>
    </row>
    <row r="5" spans="1:10" ht="30" customHeight="1" x14ac:dyDescent="0.25">
      <c r="A5" s="1694">
        <v>1</v>
      </c>
      <c r="B5" s="1694" t="s">
        <v>506</v>
      </c>
      <c r="C5" s="1694" t="s">
        <v>481</v>
      </c>
      <c r="D5" s="1696" t="s">
        <v>482</v>
      </c>
      <c r="E5" s="1697">
        <v>9500000</v>
      </c>
      <c r="F5" s="1698">
        <v>5700000</v>
      </c>
      <c r="G5" s="1699">
        <v>43374</v>
      </c>
      <c r="H5" s="1697">
        <v>950000</v>
      </c>
      <c r="I5" s="1698">
        <v>950000</v>
      </c>
      <c r="J5" s="1698">
        <f>F5-I5</f>
        <v>4750000</v>
      </c>
    </row>
    <row r="6" spans="1:10" ht="15" customHeight="1" x14ac:dyDescent="0.25">
      <c r="A6" s="1695"/>
      <c r="B6" s="1695"/>
      <c r="C6" s="1695"/>
      <c r="D6" s="1696"/>
      <c r="E6" s="1697"/>
      <c r="F6" s="1698"/>
      <c r="G6" s="1700"/>
      <c r="H6" s="1697"/>
      <c r="I6" s="1698"/>
      <c r="J6" s="1698"/>
    </row>
    <row r="7" spans="1:10" ht="63.75" x14ac:dyDescent="0.25">
      <c r="A7" s="1216">
        <v>2</v>
      </c>
      <c r="B7" s="1216" t="s">
        <v>507</v>
      </c>
      <c r="C7" s="1216" t="s">
        <v>483</v>
      </c>
      <c r="D7" s="1217" t="s">
        <v>484</v>
      </c>
      <c r="E7" s="1218">
        <v>1352550</v>
      </c>
      <c r="F7" s="1219">
        <v>812330</v>
      </c>
      <c r="G7" s="1220">
        <v>43374</v>
      </c>
      <c r="H7" s="1218">
        <v>135255</v>
      </c>
      <c r="I7" s="1219">
        <v>135255</v>
      </c>
      <c r="J7" s="1219">
        <f>F7-I7</f>
        <v>677075</v>
      </c>
    </row>
    <row r="8" spans="1:10" ht="76.5" x14ac:dyDescent="0.25">
      <c r="A8" s="1216">
        <v>3</v>
      </c>
      <c r="B8" s="1216" t="s">
        <v>508</v>
      </c>
      <c r="C8" s="1216" t="s">
        <v>485</v>
      </c>
      <c r="D8" s="1217" t="s">
        <v>486</v>
      </c>
      <c r="E8" s="1218">
        <v>304800</v>
      </c>
      <c r="F8" s="1219">
        <v>182880</v>
      </c>
      <c r="G8" s="1220">
        <v>43374</v>
      </c>
      <c r="H8" s="1218">
        <v>30480</v>
      </c>
      <c r="I8" s="1219">
        <v>30480</v>
      </c>
      <c r="J8" s="1219">
        <f>F8-H8</f>
        <v>152400</v>
      </c>
    </row>
    <row r="9" spans="1:10" ht="39" customHeight="1" x14ac:dyDescent="0.25">
      <c r="A9" s="1700">
        <v>4</v>
      </c>
      <c r="B9" s="1694" t="s">
        <v>509</v>
      </c>
      <c r="C9" s="1700" t="s">
        <v>487</v>
      </c>
      <c r="D9" s="1696" t="s">
        <v>488</v>
      </c>
      <c r="E9" s="1697">
        <v>9800000</v>
      </c>
      <c r="F9" s="1698">
        <v>5880000</v>
      </c>
      <c r="G9" s="1699">
        <v>43193</v>
      </c>
      <c r="H9" s="1697">
        <v>980000</v>
      </c>
      <c r="I9" s="1698">
        <v>980000</v>
      </c>
      <c r="J9" s="1698">
        <f>F9-I9</f>
        <v>4900000</v>
      </c>
    </row>
    <row r="10" spans="1:10" ht="7.5" customHeight="1" x14ac:dyDescent="0.25">
      <c r="A10" s="1700"/>
      <c r="B10" s="1711"/>
      <c r="C10" s="1700"/>
      <c r="D10" s="1696"/>
      <c r="E10" s="1697"/>
      <c r="F10" s="1698"/>
      <c r="G10" s="1700"/>
      <c r="H10" s="1697"/>
      <c r="I10" s="1698"/>
      <c r="J10" s="1698"/>
    </row>
    <row r="11" spans="1:10" ht="6" hidden="1" customHeight="1" x14ac:dyDescent="0.25">
      <c r="A11" s="1700"/>
      <c r="B11" s="1695"/>
      <c r="C11" s="1700"/>
      <c r="D11" s="1696"/>
      <c r="E11" s="1697"/>
      <c r="F11" s="1698"/>
      <c r="G11" s="1700"/>
      <c r="H11" s="1697"/>
      <c r="I11" s="1698"/>
      <c r="J11" s="1698"/>
    </row>
    <row r="12" spans="1:10" ht="48.75" customHeight="1" x14ac:dyDescent="0.25">
      <c r="A12" s="1701">
        <v>5</v>
      </c>
      <c r="B12" s="1701" t="s">
        <v>510</v>
      </c>
      <c r="C12" s="1701" t="s">
        <v>491</v>
      </c>
      <c r="D12" s="1704" t="s">
        <v>511</v>
      </c>
      <c r="E12" s="1689">
        <v>7566000</v>
      </c>
      <c r="F12" s="1708">
        <v>5178000</v>
      </c>
      <c r="G12" s="1220">
        <v>43193</v>
      </c>
      <c r="H12" s="1218">
        <v>398000</v>
      </c>
      <c r="I12" s="1708">
        <v>796000</v>
      </c>
      <c r="J12" s="1712">
        <f>F12-I12</f>
        <v>4382000</v>
      </c>
    </row>
    <row r="13" spans="1:10" ht="0.75" customHeight="1" x14ac:dyDescent="0.25">
      <c r="A13" s="1702"/>
      <c r="B13" s="1702"/>
      <c r="C13" s="1702"/>
      <c r="D13" s="1705"/>
      <c r="E13" s="1707"/>
      <c r="F13" s="1709"/>
      <c r="G13" s="1699">
        <v>43371</v>
      </c>
      <c r="H13" s="1697">
        <v>398000</v>
      </c>
      <c r="I13" s="1709"/>
      <c r="J13" s="1713"/>
    </row>
    <row r="14" spans="1:10" ht="15" hidden="1" customHeight="1" x14ac:dyDescent="0.25">
      <c r="A14" s="1702"/>
      <c r="B14" s="1702"/>
      <c r="C14" s="1702"/>
      <c r="D14" s="1705"/>
      <c r="E14" s="1707"/>
      <c r="F14" s="1709"/>
      <c r="G14" s="1699"/>
      <c r="H14" s="1697"/>
      <c r="I14" s="1709"/>
      <c r="J14" s="1713"/>
    </row>
    <row r="15" spans="1:10" x14ac:dyDescent="0.25">
      <c r="A15" s="1703"/>
      <c r="B15" s="1703"/>
      <c r="C15" s="1703"/>
      <c r="D15" s="1706"/>
      <c r="E15" s="1690"/>
      <c r="F15" s="1710"/>
      <c r="G15" s="1220">
        <v>43371</v>
      </c>
      <c r="H15" s="1218">
        <v>398000</v>
      </c>
      <c r="I15" s="1710"/>
      <c r="J15" s="1714"/>
    </row>
    <row r="16" spans="1:10" ht="56.25" customHeight="1" x14ac:dyDescent="0.25">
      <c r="A16" s="1700">
        <v>6</v>
      </c>
      <c r="B16" s="1694" t="s">
        <v>512</v>
      </c>
      <c r="C16" s="1700" t="s">
        <v>489</v>
      </c>
      <c r="D16" s="1716" t="s">
        <v>490</v>
      </c>
      <c r="E16" s="1697">
        <v>19846000</v>
      </c>
      <c r="F16" s="1698">
        <v>11154304</v>
      </c>
      <c r="G16" s="1699">
        <v>43374</v>
      </c>
      <c r="H16" s="1697">
        <v>1984630</v>
      </c>
      <c r="I16" s="1698">
        <v>1984630</v>
      </c>
      <c r="J16" s="1715">
        <f>F16-I16</f>
        <v>9169674</v>
      </c>
    </row>
    <row r="17" spans="1:13" ht="1.5" hidden="1" customHeight="1" x14ac:dyDescent="0.25">
      <c r="A17" s="1700"/>
      <c r="B17" s="1711"/>
      <c r="C17" s="1700"/>
      <c r="D17" s="1716"/>
      <c r="E17" s="1697"/>
      <c r="F17" s="1698"/>
      <c r="G17" s="1699"/>
      <c r="H17" s="1697"/>
      <c r="I17" s="1698"/>
      <c r="J17" s="1715"/>
    </row>
    <row r="18" spans="1:13" ht="12.75" hidden="1" customHeight="1" x14ac:dyDescent="0.25">
      <c r="A18" s="1700"/>
      <c r="B18" s="1711"/>
      <c r="C18" s="1700"/>
      <c r="D18" s="1716"/>
      <c r="E18" s="1697"/>
      <c r="F18" s="1698"/>
      <c r="G18" s="1699"/>
      <c r="H18" s="1697"/>
      <c r="I18" s="1698"/>
      <c r="J18" s="1715"/>
    </row>
    <row r="19" spans="1:13" ht="15" hidden="1" customHeight="1" x14ac:dyDescent="0.25">
      <c r="A19" s="1700"/>
      <c r="B19" s="1711"/>
      <c r="C19" s="1700"/>
      <c r="D19" s="1716"/>
      <c r="E19" s="1697"/>
      <c r="F19" s="1698"/>
      <c r="G19" s="1699"/>
      <c r="H19" s="1697"/>
      <c r="I19" s="1698"/>
      <c r="J19" s="1715"/>
    </row>
    <row r="20" spans="1:13" ht="15" hidden="1" customHeight="1" x14ac:dyDescent="0.25">
      <c r="A20" s="1700"/>
      <c r="B20" s="1695"/>
      <c r="C20" s="1700"/>
      <c r="D20" s="1716"/>
      <c r="E20" s="1697"/>
      <c r="F20" s="1698"/>
      <c r="G20" s="1699"/>
      <c r="H20" s="1697"/>
      <c r="I20" s="1698"/>
      <c r="J20" s="1715"/>
    </row>
    <row r="21" spans="1:13" ht="36" customHeight="1" x14ac:dyDescent="0.25">
      <c r="A21" s="1694">
        <v>7</v>
      </c>
      <c r="B21" s="1694" t="s">
        <v>513</v>
      </c>
      <c r="C21" s="1694" t="s">
        <v>493</v>
      </c>
      <c r="D21" s="1704" t="s">
        <v>514</v>
      </c>
      <c r="E21" s="1689">
        <v>2500000</v>
      </c>
      <c r="F21" s="1708">
        <v>1714000</v>
      </c>
      <c r="G21" s="1220">
        <v>43193</v>
      </c>
      <c r="H21" s="1218">
        <v>131000</v>
      </c>
      <c r="I21" s="1708">
        <v>262000</v>
      </c>
      <c r="J21" s="1717">
        <f>F21-I21</f>
        <v>1452000</v>
      </c>
    </row>
    <row r="22" spans="1:13" ht="14.25" customHeight="1" x14ac:dyDescent="0.25">
      <c r="A22" s="1695"/>
      <c r="B22" s="1695"/>
      <c r="C22" s="1695"/>
      <c r="D22" s="1706"/>
      <c r="E22" s="1690"/>
      <c r="F22" s="1710"/>
      <c r="G22" s="1220">
        <v>43371</v>
      </c>
      <c r="H22" s="1218">
        <v>131000</v>
      </c>
      <c r="I22" s="1710"/>
      <c r="J22" s="1718"/>
    </row>
    <row r="23" spans="1:13" ht="27" customHeight="1" x14ac:dyDescent="0.25">
      <c r="A23" s="1694">
        <v>8</v>
      </c>
      <c r="B23" s="1694" t="s">
        <v>515</v>
      </c>
      <c r="C23" s="1719" t="s">
        <v>492</v>
      </c>
      <c r="D23" s="1704" t="s">
        <v>516</v>
      </c>
      <c r="E23" s="1689">
        <v>9798000</v>
      </c>
      <c r="F23" s="1708">
        <v>7660485</v>
      </c>
      <c r="G23" s="1220">
        <v>43193</v>
      </c>
      <c r="H23" s="1218">
        <v>490000</v>
      </c>
      <c r="I23" s="1708">
        <v>980000</v>
      </c>
      <c r="J23" s="1717">
        <f>F23-I23</f>
        <v>6680485</v>
      </c>
    </row>
    <row r="24" spans="1:13" ht="14.25" customHeight="1" x14ac:dyDescent="0.25">
      <c r="A24" s="1711"/>
      <c r="B24" s="1711"/>
      <c r="C24" s="1720"/>
      <c r="D24" s="1705"/>
      <c r="E24" s="1707"/>
      <c r="F24" s="1709"/>
      <c r="G24" s="1691">
        <v>43371</v>
      </c>
      <c r="H24" s="1689">
        <v>490000</v>
      </c>
      <c r="I24" s="1709"/>
      <c r="J24" s="1722"/>
    </row>
    <row r="25" spans="1:13" ht="14.25" customHeight="1" x14ac:dyDescent="0.25">
      <c r="A25" s="1695"/>
      <c r="B25" s="1695"/>
      <c r="C25" s="1721"/>
      <c r="D25" s="1706"/>
      <c r="E25" s="1690"/>
      <c r="F25" s="1710"/>
      <c r="G25" s="1692"/>
      <c r="H25" s="1690"/>
      <c r="I25" s="1710"/>
      <c r="J25" s="1718"/>
    </row>
    <row r="26" spans="1:13" ht="14.25" customHeight="1" x14ac:dyDescent="0.25">
      <c r="A26" s="1694">
        <v>9</v>
      </c>
      <c r="B26" s="1723" t="s">
        <v>720</v>
      </c>
      <c r="C26" s="1724" t="s">
        <v>721</v>
      </c>
      <c r="D26" s="1704" t="s">
        <v>722</v>
      </c>
      <c r="E26" s="1689">
        <v>55000000</v>
      </c>
      <c r="F26" s="1708">
        <v>55000000</v>
      </c>
      <c r="G26" s="1691"/>
      <c r="H26" s="1689"/>
      <c r="I26" s="1708">
        <v>2895000</v>
      </c>
      <c r="J26" s="1717">
        <f>F26-I26</f>
        <v>52105000</v>
      </c>
    </row>
    <row r="27" spans="1:13" ht="81" customHeight="1" x14ac:dyDescent="0.25">
      <c r="A27" s="1695"/>
      <c r="B27" s="1695"/>
      <c r="C27" s="1721"/>
      <c r="D27" s="1706"/>
      <c r="E27" s="1690"/>
      <c r="F27" s="1710"/>
      <c r="G27" s="1692"/>
      <c r="H27" s="1690"/>
      <c r="I27" s="1710"/>
      <c r="J27" s="1718"/>
    </row>
    <row r="28" spans="1:13" ht="48" customHeight="1" x14ac:dyDescent="0.25">
      <c r="A28" s="1694">
        <v>10</v>
      </c>
      <c r="B28" s="1694" t="s">
        <v>517</v>
      </c>
      <c r="C28" s="1694" t="s">
        <v>494</v>
      </c>
      <c r="D28" s="1704" t="s">
        <v>518</v>
      </c>
      <c r="E28" s="1689">
        <v>14361000</v>
      </c>
      <c r="F28" s="1708">
        <v>9813155</v>
      </c>
      <c r="G28" s="1220">
        <v>43193</v>
      </c>
      <c r="H28" s="1218">
        <v>718000</v>
      </c>
      <c r="I28" s="1708">
        <v>1436000</v>
      </c>
      <c r="J28" s="1717">
        <f>F28-I28</f>
        <v>8377155</v>
      </c>
    </row>
    <row r="29" spans="1:13" x14ac:dyDescent="0.25">
      <c r="A29" s="1695"/>
      <c r="B29" s="1695"/>
      <c r="C29" s="1695"/>
      <c r="D29" s="1706"/>
      <c r="E29" s="1690"/>
      <c r="F29" s="1710"/>
      <c r="G29" s="1220">
        <v>43371</v>
      </c>
      <c r="H29" s="1218">
        <v>718000</v>
      </c>
      <c r="I29" s="1710"/>
      <c r="J29" s="1718"/>
    </row>
    <row r="30" spans="1:13" s="1225" customFormat="1" ht="15.75" x14ac:dyDescent="0.25">
      <c r="A30" s="1221"/>
      <c r="B30" s="1221"/>
      <c r="C30" s="1221" t="s">
        <v>14</v>
      </c>
      <c r="D30" s="1222"/>
      <c r="E30" s="1223"/>
      <c r="F30" s="1286">
        <f>SUM(F5:F29)</f>
        <v>103095154</v>
      </c>
      <c r="G30" s="1287"/>
      <c r="H30" s="1286">
        <f>H29+H28+H24+H23+H22+H21+H16+H15+H12+H9+H8+H7+H5</f>
        <v>7554365</v>
      </c>
      <c r="I30" s="1286">
        <f>SUM(I5:I29)</f>
        <v>10449365</v>
      </c>
      <c r="J30" s="1286">
        <f>SUM(J5:J29)</f>
        <v>92645789</v>
      </c>
      <c r="K30" s="1224"/>
      <c r="L30" s="1224"/>
      <c r="M30" s="1224"/>
    </row>
  </sheetData>
  <mergeCells count="77">
    <mergeCell ref="F28:F29"/>
    <mergeCell ref="I28:I29"/>
    <mergeCell ref="J28:J29"/>
    <mergeCell ref="A26:A27"/>
    <mergeCell ref="B26:B27"/>
    <mergeCell ref="I26:I27"/>
    <mergeCell ref="J26:J27"/>
    <mergeCell ref="C26:C27"/>
    <mergeCell ref="D26:D27"/>
    <mergeCell ref="E26:E27"/>
    <mergeCell ref="F26:F27"/>
    <mergeCell ref="A28:A29"/>
    <mergeCell ref="B28:B29"/>
    <mergeCell ref="C28:C29"/>
    <mergeCell ref="D28:D29"/>
    <mergeCell ref="E28:E29"/>
    <mergeCell ref="I21:I22"/>
    <mergeCell ref="J21:J22"/>
    <mergeCell ref="A23:A25"/>
    <mergeCell ref="B23:B25"/>
    <mergeCell ref="C23:C25"/>
    <mergeCell ref="D23:D25"/>
    <mergeCell ref="E23:E25"/>
    <mergeCell ref="F23:F25"/>
    <mergeCell ref="A21:A22"/>
    <mergeCell ref="B21:B22"/>
    <mergeCell ref="C21:C22"/>
    <mergeCell ref="D21:D22"/>
    <mergeCell ref="E21:E22"/>
    <mergeCell ref="F21:F22"/>
    <mergeCell ref="I23:I25"/>
    <mergeCell ref="J23:J25"/>
    <mergeCell ref="J16:J20"/>
    <mergeCell ref="A16:A20"/>
    <mergeCell ref="B16:B20"/>
    <mergeCell ref="C16:C20"/>
    <mergeCell ref="D16:D20"/>
    <mergeCell ref="E16:E20"/>
    <mergeCell ref="F16:F20"/>
    <mergeCell ref="G16:G20"/>
    <mergeCell ref="H16:H20"/>
    <mergeCell ref="I16:I20"/>
    <mergeCell ref="H9:H11"/>
    <mergeCell ref="I9:I11"/>
    <mergeCell ref="J9:J11"/>
    <mergeCell ref="I12:I15"/>
    <mergeCell ref="J12:J15"/>
    <mergeCell ref="H13:H14"/>
    <mergeCell ref="G9:G11"/>
    <mergeCell ref="A12:A15"/>
    <mergeCell ref="B12:B15"/>
    <mergeCell ref="C12:C15"/>
    <mergeCell ref="D12:D15"/>
    <mergeCell ref="E12:E15"/>
    <mergeCell ref="F12:F15"/>
    <mergeCell ref="A9:A11"/>
    <mergeCell ref="B9:B11"/>
    <mergeCell ref="C9:C11"/>
    <mergeCell ref="D9:D11"/>
    <mergeCell ref="E9:E11"/>
    <mergeCell ref="G13:G14"/>
    <mergeCell ref="H24:H25"/>
    <mergeCell ref="G24:G25"/>
    <mergeCell ref="G26:G27"/>
    <mergeCell ref="H26:H27"/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F9:F1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&amp;R15.sz. melléklet
....../2019.(V.30.) Egyek Önk. r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45" zoomScale="130" zoomScaleNormal="130" workbookViewId="0">
      <selection activeCell="J48" sqref="J48"/>
    </sheetView>
  </sheetViews>
  <sheetFormatPr defaultRowHeight="12.75" x14ac:dyDescent="0.2"/>
  <cols>
    <col min="2" max="2" width="20.42578125" bestFit="1" customWidth="1"/>
    <col min="3" max="3" width="8.7109375" bestFit="1" customWidth="1"/>
    <col min="4" max="4" width="18.28515625" bestFit="1" customWidth="1"/>
    <col min="5" max="5" width="18.28515625" style="236" customWidth="1"/>
    <col min="6" max="6" width="10.140625" bestFit="1" customWidth="1"/>
    <col min="7" max="7" width="12.28515625" customWidth="1"/>
    <col min="8" max="8" width="10.140625" bestFit="1" customWidth="1"/>
    <col min="9" max="9" width="12.85546875" customWidth="1"/>
    <col min="10" max="10" width="11.140625" bestFit="1" customWidth="1"/>
  </cols>
  <sheetData>
    <row r="1" spans="1:10" s="1405" customFormat="1" ht="69" customHeight="1" x14ac:dyDescent="0.25">
      <c r="A1" s="1729" t="s">
        <v>617</v>
      </c>
      <c r="B1" s="1729"/>
      <c r="C1" s="1729"/>
      <c r="D1" s="1729"/>
      <c r="E1" s="1729"/>
      <c r="F1" s="1729"/>
      <c r="G1" s="1729"/>
      <c r="H1" s="1729"/>
      <c r="I1" s="1729"/>
      <c r="J1" s="1729"/>
    </row>
    <row r="2" spans="1:10" s="1405" customFormat="1" ht="69" customHeight="1" thickBot="1" x14ac:dyDescent="0.25">
      <c r="A2" s="1406"/>
      <c r="B2" s="1407"/>
      <c r="C2" s="1408"/>
      <c r="D2" s="1408"/>
      <c r="E2" s="1462"/>
      <c r="F2" s="1408"/>
      <c r="G2" s="1408"/>
      <c r="H2" s="1408"/>
      <c r="I2" s="1408"/>
      <c r="J2" s="1409" t="s">
        <v>618</v>
      </c>
    </row>
    <row r="3" spans="1:10" s="1410" customFormat="1" ht="69" customHeight="1" thickBot="1" x14ac:dyDescent="0.25">
      <c r="A3" s="1730" t="s">
        <v>21</v>
      </c>
      <c r="B3" s="1732" t="s">
        <v>619</v>
      </c>
      <c r="C3" s="1734" t="s">
        <v>620</v>
      </c>
      <c r="D3" s="1734" t="s">
        <v>703</v>
      </c>
      <c r="E3" s="1727" t="s">
        <v>704</v>
      </c>
      <c r="F3" s="1736" t="s">
        <v>621</v>
      </c>
      <c r="G3" s="1736"/>
      <c r="H3" s="1736"/>
      <c r="I3" s="1736"/>
      <c r="J3" s="1737" t="s">
        <v>14</v>
      </c>
    </row>
    <row r="4" spans="1:10" s="1410" customFormat="1" ht="24.75" customHeight="1" thickBot="1" x14ac:dyDescent="0.25">
      <c r="A4" s="1731"/>
      <c r="B4" s="1733"/>
      <c r="C4" s="1733"/>
      <c r="D4" s="1735"/>
      <c r="E4" s="1728"/>
      <c r="F4" s="1441" t="s">
        <v>622</v>
      </c>
      <c r="G4" s="1441" t="s">
        <v>623</v>
      </c>
      <c r="H4" s="1441" t="s">
        <v>624</v>
      </c>
      <c r="I4" s="1461" t="s">
        <v>717</v>
      </c>
      <c r="J4" s="1738"/>
    </row>
    <row r="5" spans="1:10" s="1415" customFormat="1" ht="39" thickBot="1" x14ac:dyDescent="0.25">
      <c r="A5" s="1440" t="s">
        <v>0</v>
      </c>
      <c r="B5" s="1411" t="s">
        <v>625</v>
      </c>
      <c r="C5" s="1412" t="s">
        <v>187</v>
      </c>
      <c r="D5" s="1413" t="s">
        <v>187</v>
      </c>
      <c r="E5" s="1463" t="s">
        <v>187</v>
      </c>
      <c r="F5" s="1412" t="s">
        <v>187</v>
      </c>
      <c r="G5" s="1412" t="s">
        <v>187</v>
      </c>
      <c r="H5" s="1412" t="s">
        <v>187</v>
      </c>
      <c r="I5" s="1412" t="s">
        <v>187</v>
      </c>
      <c r="J5" s="1414" t="s">
        <v>187</v>
      </c>
    </row>
    <row r="6" spans="1:10" s="1415" customFormat="1" ht="37.5" customHeight="1" thickBot="1" x14ac:dyDescent="0.25">
      <c r="A6" s="1416" t="s">
        <v>626</v>
      </c>
      <c r="B6" s="1417" t="s">
        <v>627</v>
      </c>
      <c r="C6" s="1418" t="s">
        <v>187</v>
      </c>
      <c r="D6" s="1419" t="s">
        <v>187</v>
      </c>
      <c r="E6" s="1464">
        <v>0</v>
      </c>
      <c r="F6" s="1420" t="s">
        <v>187</v>
      </c>
      <c r="G6" s="1420" t="s">
        <v>187</v>
      </c>
      <c r="H6" s="1420" t="s">
        <v>187</v>
      </c>
      <c r="I6" s="1420" t="s">
        <v>187</v>
      </c>
      <c r="J6" s="1421" t="s">
        <v>187</v>
      </c>
    </row>
    <row r="7" spans="1:10" s="1415" customFormat="1" ht="43.5" customHeight="1" thickBot="1" x14ac:dyDescent="0.25">
      <c r="A7" s="1440" t="s">
        <v>4</v>
      </c>
      <c r="B7" s="1422" t="s">
        <v>628</v>
      </c>
      <c r="C7" s="1412"/>
      <c r="D7" s="1412">
        <f t="shared" ref="D7:J7" si="0">SUM(D8:D17)</f>
        <v>19378831</v>
      </c>
      <c r="E7" s="1463">
        <f t="shared" si="0"/>
        <v>7554365</v>
      </c>
      <c r="F7" s="1412">
        <f t="shared" si="0"/>
        <v>10449365</v>
      </c>
      <c r="G7" s="1412">
        <f t="shared" si="0"/>
        <v>13344365</v>
      </c>
      <c r="H7" s="1412">
        <f t="shared" si="0"/>
        <v>13344365</v>
      </c>
      <c r="I7" s="1412">
        <f t="shared" si="0"/>
        <v>65957059</v>
      </c>
      <c r="J7" s="1412">
        <f t="shared" si="0"/>
        <v>130028350</v>
      </c>
    </row>
    <row r="8" spans="1:10" s="1443" customFormat="1" ht="75.75" customHeight="1" x14ac:dyDescent="0.2">
      <c r="A8" s="1442" t="s">
        <v>629</v>
      </c>
      <c r="B8" s="1423" t="s">
        <v>630</v>
      </c>
      <c r="C8" s="1424" t="s">
        <v>631</v>
      </c>
      <c r="D8" s="1425">
        <v>6707066</v>
      </c>
      <c r="E8" s="1465">
        <v>1984630</v>
      </c>
      <c r="F8" s="1425">
        <v>1984630</v>
      </c>
      <c r="G8" s="1425">
        <v>1984630</v>
      </c>
      <c r="H8" s="1425">
        <v>1984630</v>
      </c>
      <c r="I8" s="1425">
        <f>19846000-14645586</f>
        <v>5200414</v>
      </c>
      <c r="J8" s="1435">
        <f t="shared" ref="J8:J17" si="1">SUM(D8:I8)</f>
        <v>19846000</v>
      </c>
    </row>
    <row r="9" spans="1:10" s="1443" customFormat="1" ht="40.5" customHeight="1" x14ac:dyDescent="0.2">
      <c r="A9" s="1444" t="s">
        <v>632</v>
      </c>
      <c r="B9" s="1426" t="s">
        <v>633</v>
      </c>
      <c r="C9" s="1427" t="s">
        <v>634</v>
      </c>
      <c r="D9" s="1428">
        <v>1157515</v>
      </c>
      <c r="E9" s="1439">
        <v>980000</v>
      </c>
      <c r="F9" s="1428">
        <v>980000</v>
      </c>
      <c r="G9" s="1428">
        <v>980000</v>
      </c>
      <c r="H9" s="1428">
        <v>980000</v>
      </c>
      <c r="I9" s="1428">
        <f>6680485-980000*2</f>
        <v>4720485</v>
      </c>
      <c r="J9" s="1435">
        <f t="shared" si="1"/>
        <v>9798000</v>
      </c>
    </row>
    <row r="10" spans="1:10" s="1443" customFormat="1" ht="52.5" customHeight="1" x14ac:dyDescent="0.2">
      <c r="A10" s="1444" t="s">
        <v>635</v>
      </c>
      <c r="B10" s="1426" t="s">
        <v>636</v>
      </c>
      <c r="C10" s="1427" t="s">
        <v>631</v>
      </c>
      <c r="D10" s="1428">
        <v>2940000</v>
      </c>
      <c r="E10" s="1439">
        <v>980000</v>
      </c>
      <c r="F10" s="1428">
        <v>980000</v>
      </c>
      <c r="G10" s="1428">
        <v>980000</v>
      </c>
      <c r="H10" s="1428">
        <v>980000</v>
      </c>
      <c r="I10" s="1428">
        <f>4900000-2*980000</f>
        <v>2940000</v>
      </c>
      <c r="J10" s="1435">
        <f>SUM(D10:I10)</f>
        <v>9800000</v>
      </c>
    </row>
    <row r="11" spans="1:10" s="1443" customFormat="1" ht="89.25" x14ac:dyDescent="0.2">
      <c r="A11" s="1444" t="s">
        <v>637</v>
      </c>
      <c r="B11" s="1426" t="s">
        <v>638</v>
      </c>
      <c r="C11" s="1427" t="s">
        <v>631</v>
      </c>
      <c r="D11" s="1428">
        <v>91440</v>
      </c>
      <c r="E11" s="1439">
        <v>30480</v>
      </c>
      <c r="F11" s="1428">
        <v>30480</v>
      </c>
      <c r="G11" s="1428">
        <v>30480</v>
      </c>
      <c r="H11" s="1428">
        <v>30480</v>
      </c>
      <c r="I11" s="1428">
        <f>152400-30480*2</f>
        <v>91440</v>
      </c>
      <c r="J11" s="1435">
        <f>SUM(D11:I11)</f>
        <v>304800</v>
      </c>
    </row>
    <row r="12" spans="1:10" s="1443" customFormat="1" ht="135" x14ac:dyDescent="0.2">
      <c r="A12" s="1444" t="s">
        <v>639</v>
      </c>
      <c r="B12" s="1445" t="s">
        <v>640</v>
      </c>
      <c r="C12" s="1427" t="s">
        <v>631</v>
      </c>
      <c r="D12" s="1428">
        <v>404965</v>
      </c>
      <c r="E12" s="1439">
        <v>135255</v>
      </c>
      <c r="F12" s="1428">
        <v>135255</v>
      </c>
      <c r="G12" s="1428">
        <v>135255</v>
      </c>
      <c r="H12" s="1428">
        <v>135255</v>
      </c>
      <c r="I12" s="1428">
        <f>677075-2*135255</f>
        <v>406565</v>
      </c>
      <c r="J12" s="1435">
        <f t="shared" si="1"/>
        <v>1352550</v>
      </c>
    </row>
    <row r="13" spans="1:10" s="1443" customFormat="1" ht="25.5" x14ac:dyDescent="0.2">
      <c r="A13" s="1444" t="s">
        <v>641</v>
      </c>
      <c r="B13" s="1426" t="s">
        <v>642</v>
      </c>
      <c r="C13" s="1427" t="s">
        <v>631</v>
      </c>
      <c r="D13" s="1428">
        <v>2850000</v>
      </c>
      <c r="E13" s="1439">
        <v>950000</v>
      </c>
      <c r="F13" s="1428">
        <v>950000</v>
      </c>
      <c r="G13" s="1428">
        <v>950000</v>
      </c>
      <c r="H13" s="1428">
        <v>950000</v>
      </c>
      <c r="I13" s="1428">
        <f>4750000-2*950000</f>
        <v>2850000</v>
      </c>
      <c r="J13" s="1435">
        <f t="shared" si="1"/>
        <v>9500000</v>
      </c>
    </row>
    <row r="14" spans="1:10" s="1443" customFormat="1" ht="76.5" x14ac:dyDescent="0.2">
      <c r="A14" s="1444" t="s">
        <v>643</v>
      </c>
      <c r="B14" s="1426" t="s">
        <v>644</v>
      </c>
      <c r="C14" s="1427" t="s">
        <v>645</v>
      </c>
      <c r="D14" s="1428">
        <v>1592000</v>
      </c>
      <c r="E14" s="1439">
        <v>796000</v>
      </c>
      <c r="F14" s="1428">
        <v>796000</v>
      </c>
      <c r="G14" s="1429">
        <v>796000</v>
      </c>
      <c r="H14" s="1429">
        <v>796000</v>
      </c>
      <c r="I14" s="1429">
        <f>4382000-2*796000</f>
        <v>2790000</v>
      </c>
      <c r="J14" s="1435">
        <f t="shared" si="1"/>
        <v>7566000</v>
      </c>
    </row>
    <row r="15" spans="1:10" s="1443" customFormat="1" ht="69" customHeight="1" x14ac:dyDescent="0.2">
      <c r="A15" s="1444" t="s">
        <v>646</v>
      </c>
      <c r="B15" s="1426" t="s">
        <v>647</v>
      </c>
      <c r="C15" s="1427" t="s">
        <v>645</v>
      </c>
      <c r="D15" s="1428">
        <v>3111845</v>
      </c>
      <c r="E15" s="1439">
        <v>1436000</v>
      </c>
      <c r="F15" s="1428">
        <v>1436000</v>
      </c>
      <c r="G15" s="1429">
        <v>1436000</v>
      </c>
      <c r="H15" s="1429">
        <v>1436000</v>
      </c>
      <c r="I15" s="1429">
        <f>8377155-2*1436000</f>
        <v>5505155</v>
      </c>
      <c r="J15" s="1435">
        <f t="shared" si="1"/>
        <v>14361000</v>
      </c>
    </row>
    <row r="16" spans="1:10" s="1443" customFormat="1" ht="83.25" customHeight="1" x14ac:dyDescent="0.2">
      <c r="A16" s="1444" t="s">
        <v>648</v>
      </c>
      <c r="B16" s="1431" t="s">
        <v>719</v>
      </c>
      <c r="C16" s="1432" t="s">
        <v>453</v>
      </c>
      <c r="D16" s="1433"/>
      <c r="E16" s="1466"/>
      <c r="F16" s="1433">
        <v>2895000</v>
      </c>
      <c r="G16" s="1434">
        <v>5790000</v>
      </c>
      <c r="H16" s="1434">
        <v>5790000</v>
      </c>
      <c r="I16" s="1434">
        <f>55000000-2*5790000-2895000</f>
        <v>40525000</v>
      </c>
      <c r="J16" s="1435">
        <f t="shared" si="1"/>
        <v>55000000</v>
      </c>
    </row>
    <row r="17" spans="1:10" s="1443" customFormat="1" ht="60" customHeight="1" thickBot="1" x14ac:dyDescent="0.25">
      <c r="A17" s="1444" t="s">
        <v>718</v>
      </c>
      <c r="B17" s="1431" t="s">
        <v>649</v>
      </c>
      <c r="C17" s="1432" t="s">
        <v>645</v>
      </c>
      <c r="D17" s="1433">
        <v>524000</v>
      </c>
      <c r="E17" s="1466">
        <v>262000</v>
      </c>
      <c r="F17" s="1433">
        <v>262000</v>
      </c>
      <c r="G17" s="1434">
        <v>262000</v>
      </c>
      <c r="H17" s="1434">
        <v>262000</v>
      </c>
      <c r="I17" s="1434">
        <f>1452000-2*262000</f>
        <v>928000</v>
      </c>
      <c r="J17" s="1435">
        <f t="shared" si="1"/>
        <v>2500000</v>
      </c>
    </row>
    <row r="18" spans="1:10" s="1443" customFormat="1" ht="26.25" thickBot="1" x14ac:dyDescent="0.25">
      <c r="A18" s="1446" t="s">
        <v>8</v>
      </c>
      <c r="B18" s="1447" t="s">
        <v>650</v>
      </c>
      <c r="C18" s="1448" t="s">
        <v>187</v>
      </c>
      <c r="D18" s="1448">
        <f>SUM(D19:D25)</f>
        <v>5794312</v>
      </c>
      <c r="E18" s="1448">
        <f t="shared" ref="E18:J18" si="2">SUM(E19:E25)</f>
        <v>16134514</v>
      </c>
      <c r="F18" s="1448">
        <f t="shared" si="2"/>
        <v>3375000</v>
      </c>
      <c r="G18" s="1448">
        <f t="shared" si="2"/>
        <v>0</v>
      </c>
      <c r="H18" s="1448">
        <f t="shared" si="2"/>
        <v>0</v>
      </c>
      <c r="I18" s="1448">
        <f t="shared" si="2"/>
        <v>0</v>
      </c>
      <c r="J18" s="1448">
        <f t="shared" si="2"/>
        <v>25303826</v>
      </c>
    </row>
    <row r="19" spans="1:10" s="1443" customFormat="1" ht="25.5" x14ac:dyDescent="0.2">
      <c r="A19" s="1442" t="s">
        <v>651</v>
      </c>
      <c r="B19" s="1423" t="s">
        <v>705</v>
      </c>
      <c r="C19" s="1424" t="s">
        <v>706</v>
      </c>
      <c r="D19" s="1425">
        <v>80000</v>
      </c>
      <c r="E19" s="1465">
        <v>270000</v>
      </c>
      <c r="F19" s="1425"/>
      <c r="G19" s="1425" t="s">
        <v>187</v>
      </c>
      <c r="H19" s="1425" t="s">
        <v>187</v>
      </c>
      <c r="I19" s="1425" t="s">
        <v>187</v>
      </c>
      <c r="J19" s="1435">
        <f>SUM(D19:I19)</f>
        <v>350000</v>
      </c>
    </row>
    <row r="20" spans="1:10" s="1443" customFormat="1" ht="51" x14ac:dyDescent="0.2">
      <c r="A20" s="1442" t="s">
        <v>652</v>
      </c>
      <c r="B20" s="1436" t="s">
        <v>707</v>
      </c>
      <c r="C20" s="1427" t="s">
        <v>706</v>
      </c>
      <c r="D20" s="1428" t="s">
        <v>187</v>
      </c>
      <c r="E20" s="1439">
        <v>419100</v>
      </c>
      <c r="F20" s="1428"/>
      <c r="G20" s="1428" t="s">
        <v>187</v>
      </c>
      <c r="H20" s="1428" t="s">
        <v>187</v>
      </c>
      <c r="I20" s="1428" t="s">
        <v>187</v>
      </c>
      <c r="J20" s="1435">
        <f t="shared" ref="J20:J26" si="3">SUM(D20:I20)</f>
        <v>419100</v>
      </c>
    </row>
    <row r="21" spans="1:10" s="1443" customFormat="1" ht="25.5" x14ac:dyDescent="0.2">
      <c r="A21" s="1442" t="s">
        <v>653</v>
      </c>
      <c r="B21" s="1436" t="s">
        <v>708</v>
      </c>
      <c r="C21" s="1427" t="s">
        <v>706</v>
      </c>
      <c r="D21" s="1428">
        <v>3000000</v>
      </c>
      <c r="E21" s="1439">
        <v>10846454</v>
      </c>
      <c r="F21" s="1428"/>
      <c r="G21" s="1428" t="s">
        <v>187</v>
      </c>
      <c r="H21" s="1428" t="s">
        <v>187</v>
      </c>
      <c r="I21" s="1428" t="s">
        <v>187</v>
      </c>
      <c r="J21" s="1435">
        <f t="shared" si="3"/>
        <v>13846454</v>
      </c>
    </row>
    <row r="22" spans="1:10" s="1443" customFormat="1" ht="51" x14ac:dyDescent="0.2">
      <c r="A22" s="1442" t="s">
        <v>654</v>
      </c>
      <c r="B22" s="1436" t="s">
        <v>709</v>
      </c>
      <c r="C22" s="1427" t="s">
        <v>706</v>
      </c>
      <c r="D22" s="1428"/>
      <c r="E22" s="1439">
        <v>1734185</v>
      </c>
      <c r="F22" s="1428"/>
      <c r="G22" s="1428" t="s">
        <v>187</v>
      </c>
      <c r="H22" s="1428" t="s">
        <v>187</v>
      </c>
      <c r="I22" s="1428" t="s">
        <v>187</v>
      </c>
      <c r="J22" s="1435">
        <f t="shared" si="3"/>
        <v>1734185</v>
      </c>
    </row>
    <row r="23" spans="1:10" s="1443" customFormat="1" ht="89.25" x14ac:dyDescent="0.2">
      <c r="A23" s="1449" t="s">
        <v>655</v>
      </c>
      <c r="B23" s="1437" t="s">
        <v>710</v>
      </c>
      <c r="C23" s="1432" t="s">
        <v>706</v>
      </c>
      <c r="D23" s="1433">
        <v>1606600</v>
      </c>
      <c r="E23" s="1466">
        <v>1948900</v>
      </c>
      <c r="F23" s="1433"/>
      <c r="G23" s="1433"/>
      <c r="H23" s="1433"/>
      <c r="I23" s="1433"/>
      <c r="J23" s="1435">
        <f t="shared" si="3"/>
        <v>3555500</v>
      </c>
    </row>
    <row r="24" spans="1:10" s="1443" customFormat="1" ht="102" x14ac:dyDescent="0.2">
      <c r="A24" s="1470"/>
      <c r="B24" s="1437" t="s">
        <v>723</v>
      </c>
      <c r="C24" s="1432" t="s">
        <v>453</v>
      </c>
      <c r="D24" s="1433"/>
      <c r="E24" s="1466">
        <v>375000</v>
      </c>
      <c r="F24" s="1433">
        <v>3375000</v>
      </c>
      <c r="G24" s="1433"/>
      <c r="H24" s="1433"/>
      <c r="I24" s="1433"/>
      <c r="J24" s="1435">
        <f t="shared" ref="J24" si="4">SUM(D24:I24)</f>
        <v>3750000</v>
      </c>
    </row>
    <row r="25" spans="1:10" s="1443" customFormat="1" ht="25.5" x14ac:dyDescent="0.2">
      <c r="A25" s="1450" t="s">
        <v>656</v>
      </c>
      <c r="B25" s="1437" t="s">
        <v>711</v>
      </c>
      <c r="C25" s="1432" t="s">
        <v>706</v>
      </c>
      <c r="D25" s="1433">
        <v>1107712</v>
      </c>
      <c r="E25" s="1466">
        <v>540875</v>
      </c>
      <c r="F25" s="1433"/>
      <c r="G25" s="1433"/>
      <c r="H25" s="1433"/>
      <c r="I25" s="1433"/>
      <c r="J25" s="1435">
        <f t="shared" si="3"/>
        <v>1648587</v>
      </c>
    </row>
    <row r="26" spans="1:10" s="1443" customFormat="1" ht="69" customHeight="1" thickBot="1" x14ac:dyDescent="0.25">
      <c r="A26" s="1450" t="s">
        <v>712</v>
      </c>
      <c r="B26" s="1437" t="s">
        <v>713</v>
      </c>
      <c r="C26" s="1432" t="s">
        <v>706</v>
      </c>
      <c r="D26" s="1433"/>
      <c r="E26" s="1466">
        <v>1240000</v>
      </c>
      <c r="F26" s="1433"/>
      <c r="G26" s="1433"/>
      <c r="H26" s="1433"/>
      <c r="I26" s="1433"/>
      <c r="J26" s="1435">
        <f t="shared" si="3"/>
        <v>1240000</v>
      </c>
    </row>
    <row r="27" spans="1:10" s="1443" customFormat="1" ht="69" customHeight="1" thickBot="1" x14ac:dyDescent="0.25">
      <c r="A27" s="1446" t="s">
        <v>2</v>
      </c>
      <c r="B27" s="1438" t="s">
        <v>657</v>
      </c>
      <c r="C27" s="1438"/>
      <c r="D27" s="1438">
        <f>SUM(D28:D49)</f>
        <v>68654258</v>
      </c>
      <c r="E27" s="1467"/>
      <c r="F27" s="1438">
        <f>SUM(F28:F49)</f>
        <v>11346696</v>
      </c>
      <c r="G27" s="1438">
        <f>SUM(G28:G49)</f>
        <v>11346696</v>
      </c>
      <c r="H27" s="1438">
        <f>SUM(H28:H49)</f>
        <v>11346696</v>
      </c>
      <c r="I27" s="1438">
        <f>SUM(I28:I49)</f>
        <v>11346696</v>
      </c>
      <c r="J27" s="1451">
        <f>SUM(J28:J49)</f>
        <v>118691406</v>
      </c>
    </row>
    <row r="28" spans="1:10" s="1443" customFormat="1" ht="51" x14ac:dyDescent="0.2">
      <c r="A28" s="1452" t="s">
        <v>658</v>
      </c>
      <c r="B28" s="1453" t="s">
        <v>714</v>
      </c>
      <c r="C28" s="1454" t="s">
        <v>634</v>
      </c>
      <c r="D28" s="1454">
        <v>1000000</v>
      </c>
      <c r="E28" s="1468"/>
      <c r="F28" s="1454"/>
      <c r="G28" s="1455"/>
      <c r="H28" s="1455"/>
      <c r="I28" s="1455"/>
      <c r="J28" s="1456">
        <f t="shared" ref="J28:J34" si="5">D28+F28+G28+H28+I28</f>
        <v>1000000</v>
      </c>
    </row>
    <row r="29" spans="1:10" s="1443" customFormat="1" x14ac:dyDescent="0.2">
      <c r="A29" s="1444" t="s">
        <v>659</v>
      </c>
      <c r="B29" s="1436" t="s">
        <v>660</v>
      </c>
      <c r="C29" s="1427" t="s">
        <v>661</v>
      </c>
      <c r="D29" s="1428">
        <v>4195680</v>
      </c>
      <c r="E29" s="1439">
        <v>868680</v>
      </c>
      <c r="F29" s="1428">
        <v>868680</v>
      </c>
      <c r="G29" s="1428">
        <v>868680</v>
      </c>
      <c r="H29" s="1428">
        <v>868680</v>
      </c>
      <c r="I29" s="1428">
        <v>868680</v>
      </c>
      <c r="J29" s="1435">
        <f t="shared" si="5"/>
        <v>7670400</v>
      </c>
    </row>
    <row r="30" spans="1:10" s="1443" customFormat="1" ht="38.25" x14ac:dyDescent="0.2">
      <c r="A30" s="1444" t="s">
        <v>664</v>
      </c>
      <c r="B30" s="1436" t="s">
        <v>665</v>
      </c>
      <c r="C30" s="1427" t="s">
        <v>662</v>
      </c>
      <c r="D30" s="1428">
        <v>4640000</v>
      </c>
      <c r="E30" s="1439">
        <v>1200000</v>
      </c>
      <c r="F30" s="1428"/>
      <c r="G30" s="1428"/>
      <c r="H30" s="1428"/>
      <c r="I30" s="1428"/>
      <c r="J30" s="1435">
        <f t="shared" si="5"/>
        <v>4640000</v>
      </c>
    </row>
    <row r="31" spans="1:10" s="1443" customFormat="1" ht="38.25" x14ac:dyDescent="0.2">
      <c r="A31" s="1444" t="s">
        <v>666</v>
      </c>
      <c r="B31" s="1436" t="s">
        <v>667</v>
      </c>
      <c r="C31" s="1427" t="s">
        <v>663</v>
      </c>
      <c r="D31" s="1428">
        <v>3300000</v>
      </c>
      <c r="E31" s="1439">
        <v>660000</v>
      </c>
      <c r="F31" s="1428"/>
      <c r="G31" s="1428"/>
      <c r="H31" s="1428"/>
      <c r="I31" s="1428"/>
      <c r="J31" s="1435">
        <f t="shared" si="5"/>
        <v>3300000</v>
      </c>
    </row>
    <row r="32" spans="1:10" s="1443" customFormat="1" ht="25.5" x14ac:dyDescent="0.2">
      <c r="A32" s="1444" t="s">
        <v>668</v>
      </c>
      <c r="B32" s="1436" t="s">
        <v>669</v>
      </c>
      <c r="C32" s="1427" t="s">
        <v>662</v>
      </c>
      <c r="D32" s="1428">
        <v>8130000</v>
      </c>
      <c r="E32" s="1439">
        <v>1905000</v>
      </c>
      <c r="F32" s="1428">
        <v>1905000</v>
      </c>
      <c r="G32" s="1428">
        <v>1905000</v>
      </c>
      <c r="H32" s="1428">
        <v>1905000</v>
      </c>
      <c r="I32" s="1428">
        <v>1905000</v>
      </c>
      <c r="J32" s="1435">
        <f t="shared" si="5"/>
        <v>15750000</v>
      </c>
    </row>
    <row r="33" spans="1:10" s="1443" customFormat="1" ht="38.25" x14ac:dyDescent="0.2">
      <c r="A33" s="1430" t="s">
        <v>670</v>
      </c>
      <c r="B33" s="1437" t="s">
        <v>671</v>
      </c>
      <c r="C33" s="1432" t="s">
        <v>645</v>
      </c>
      <c r="D33" s="1433">
        <v>1588000</v>
      </c>
      <c r="E33" s="1466">
        <v>762000</v>
      </c>
      <c r="F33" s="1433">
        <v>762000</v>
      </c>
      <c r="G33" s="1433">
        <v>762000</v>
      </c>
      <c r="H33" s="1433">
        <v>762000</v>
      </c>
      <c r="I33" s="1433">
        <v>762000</v>
      </c>
      <c r="J33" s="1435">
        <f t="shared" si="5"/>
        <v>4636000</v>
      </c>
    </row>
    <row r="34" spans="1:10" s="1443" customFormat="1" ht="25.5" x14ac:dyDescent="0.2">
      <c r="A34" s="1444" t="s">
        <v>672</v>
      </c>
      <c r="B34" s="1436" t="s">
        <v>673</v>
      </c>
      <c r="C34" s="1427" t="s">
        <v>674</v>
      </c>
      <c r="D34" s="1428">
        <v>30646828</v>
      </c>
      <c r="E34" s="1439">
        <v>3767868</v>
      </c>
      <c r="F34" s="1428">
        <v>3767868</v>
      </c>
      <c r="G34" s="1428">
        <v>3767868</v>
      </c>
      <c r="H34" s="1428">
        <v>3767868</v>
      </c>
      <c r="I34" s="1428">
        <v>3767868</v>
      </c>
      <c r="J34" s="1435">
        <f t="shared" si="5"/>
        <v>45718300</v>
      </c>
    </row>
    <row r="35" spans="1:10" s="1443" customFormat="1" ht="25.5" x14ac:dyDescent="0.2">
      <c r="A35" s="1444" t="s">
        <v>675</v>
      </c>
      <c r="B35" s="1436" t="s">
        <v>676</v>
      </c>
      <c r="C35" s="1427" t="s">
        <v>662</v>
      </c>
      <c r="D35" s="1428">
        <v>794000</v>
      </c>
      <c r="E35" s="1439">
        <v>162000</v>
      </c>
      <c r="F35" s="1428">
        <v>162000</v>
      </c>
      <c r="G35" s="1428">
        <v>162000</v>
      </c>
      <c r="H35" s="1428">
        <v>162000</v>
      </c>
      <c r="I35" s="1428">
        <v>162000</v>
      </c>
      <c r="J35" s="1457">
        <f t="shared" ref="J35:J49" si="6">SUM(D35:I35)</f>
        <v>1604000</v>
      </c>
    </row>
    <row r="36" spans="1:10" s="1443" customFormat="1" ht="25.5" x14ac:dyDescent="0.2">
      <c r="A36" s="1444" t="s">
        <v>677</v>
      </c>
      <c r="B36" s="1436" t="s">
        <v>678</v>
      </c>
      <c r="C36" s="1427" t="s">
        <v>663</v>
      </c>
      <c r="D36" s="1428">
        <v>938000</v>
      </c>
      <c r="E36" s="1439">
        <v>139500</v>
      </c>
      <c r="F36" s="1428">
        <v>139500</v>
      </c>
      <c r="G36" s="1428">
        <v>139500</v>
      </c>
      <c r="H36" s="1428">
        <v>139500</v>
      </c>
      <c r="I36" s="1428">
        <v>139500</v>
      </c>
      <c r="J36" s="1457">
        <f t="shared" si="6"/>
        <v>1635500</v>
      </c>
    </row>
    <row r="37" spans="1:10" s="1443" customFormat="1" ht="25.5" x14ac:dyDescent="0.2">
      <c r="A37" s="1444" t="s">
        <v>679</v>
      </c>
      <c r="B37" s="1436" t="s">
        <v>680</v>
      </c>
      <c r="C37" s="1427" t="s">
        <v>663</v>
      </c>
      <c r="D37" s="1428">
        <v>1479000</v>
      </c>
      <c r="E37" s="1439">
        <v>624840</v>
      </c>
      <c r="F37" s="1428">
        <v>624840</v>
      </c>
      <c r="G37" s="1428">
        <v>624840</v>
      </c>
      <c r="H37" s="1428">
        <v>624840</v>
      </c>
      <c r="I37" s="1428">
        <v>624840</v>
      </c>
      <c r="J37" s="1457">
        <f t="shared" si="6"/>
        <v>4603200</v>
      </c>
    </row>
    <row r="38" spans="1:10" s="1443" customFormat="1" ht="38.25" x14ac:dyDescent="0.2">
      <c r="A38" s="1444" t="s">
        <v>681</v>
      </c>
      <c r="B38" s="1436" t="s">
        <v>682</v>
      </c>
      <c r="C38" s="1427" t="s">
        <v>662</v>
      </c>
      <c r="D38" s="1428">
        <v>296750</v>
      </c>
      <c r="E38" s="1439">
        <v>83000</v>
      </c>
      <c r="F38" s="1428">
        <v>83000</v>
      </c>
      <c r="G38" s="1428">
        <v>83000</v>
      </c>
      <c r="H38" s="1428">
        <v>83000</v>
      </c>
      <c r="I38" s="1428">
        <v>83000</v>
      </c>
      <c r="J38" s="1457">
        <f t="shared" si="6"/>
        <v>711750</v>
      </c>
    </row>
    <row r="39" spans="1:10" s="1443" customFormat="1" ht="25.5" x14ac:dyDescent="0.2">
      <c r="A39" s="1444" t="s">
        <v>683</v>
      </c>
      <c r="B39" s="1436" t="s">
        <v>684</v>
      </c>
      <c r="C39" s="1427" t="s">
        <v>663</v>
      </c>
      <c r="D39" s="1428">
        <v>1296000</v>
      </c>
      <c r="E39" s="1439">
        <v>216000</v>
      </c>
      <c r="F39" s="1428">
        <v>216000</v>
      </c>
      <c r="G39" s="1428">
        <v>216000</v>
      </c>
      <c r="H39" s="1428">
        <v>216000</v>
      </c>
      <c r="I39" s="1428">
        <v>216000</v>
      </c>
      <c r="J39" s="1457">
        <f t="shared" si="6"/>
        <v>2376000</v>
      </c>
    </row>
    <row r="40" spans="1:10" s="1443" customFormat="1" ht="51" x14ac:dyDescent="0.2">
      <c r="A40" s="1444" t="s">
        <v>685</v>
      </c>
      <c r="B40" s="1436" t="s">
        <v>686</v>
      </c>
      <c r="C40" s="1427" t="s">
        <v>663</v>
      </c>
      <c r="D40" s="1428">
        <v>189000</v>
      </c>
      <c r="E40" s="1439">
        <v>32000</v>
      </c>
      <c r="F40" s="1428">
        <v>32000</v>
      </c>
      <c r="G40" s="1428">
        <v>32000</v>
      </c>
      <c r="H40" s="1428">
        <v>32000</v>
      </c>
      <c r="I40" s="1428">
        <v>32000</v>
      </c>
      <c r="J40" s="1457">
        <f t="shared" si="6"/>
        <v>349000</v>
      </c>
    </row>
    <row r="41" spans="1:10" s="1443" customFormat="1" ht="38.25" x14ac:dyDescent="0.2">
      <c r="A41" s="1444" t="s">
        <v>687</v>
      </c>
      <c r="B41" s="1436" t="s">
        <v>688</v>
      </c>
      <c r="C41" s="1427" t="s">
        <v>663</v>
      </c>
      <c r="D41" s="1428">
        <v>216000</v>
      </c>
      <c r="E41" s="1439">
        <v>36000</v>
      </c>
      <c r="F41" s="1428">
        <v>36000</v>
      </c>
      <c r="G41" s="1428">
        <v>36000</v>
      </c>
      <c r="H41" s="1428">
        <v>36000</v>
      </c>
      <c r="I41" s="1428">
        <v>36000</v>
      </c>
      <c r="J41" s="1457">
        <f t="shared" si="6"/>
        <v>396000</v>
      </c>
    </row>
    <row r="42" spans="1:10" s="1443" customFormat="1" ht="25.5" x14ac:dyDescent="0.2">
      <c r="A42" s="1444" t="s">
        <v>689</v>
      </c>
      <c r="B42" s="1436" t="s">
        <v>690</v>
      </c>
      <c r="C42" s="1427" t="s">
        <v>663</v>
      </c>
      <c r="D42" s="1428">
        <v>427000</v>
      </c>
      <c r="E42" s="1439">
        <v>10200</v>
      </c>
      <c r="F42" s="1428">
        <v>102000</v>
      </c>
      <c r="G42" s="1428">
        <v>102000</v>
      </c>
      <c r="H42" s="1428">
        <v>102000</v>
      </c>
      <c r="I42" s="1428">
        <v>102000</v>
      </c>
      <c r="J42" s="1457">
        <f t="shared" si="6"/>
        <v>845200</v>
      </c>
    </row>
    <row r="43" spans="1:10" s="1443" customFormat="1" ht="51" x14ac:dyDescent="0.2">
      <c r="A43" s="1444" t="s">
        <v>691</v>
      </c>
      <c r="B43" s="1436" t="s">
        <v>692</v>
      </c>
      <c r="C43" s="1427" t="s">
        <v>663</v>
      </c>
      <c r="D43" s="1428">
        <v>2914000</v>
      </c>
      <c r="E43" s="1439">
        <v>971304</v>
      </c>
      <c r="F43" s="1428">
        <v>1032288</v>
      </c>
      <c r="G43" s="1428">
        <v>1032288</v>
      </c>
      <c r="H43" s="1428">
        <v>1032288</v>
      </c>
      <c r="I43" s="1428">
        <v>1032288</v>
      </c>
      <c r="J43" s="1457">
        <f t="shared" si="6"/>
        <v>8014456</v>
      </c>
    </row>
    <row r="44" spans="1:10" s="1443" customFormat="1" ht="25.5" x14ac:dyDescent="0.2">
      <c r="A44" s="1444" t="s">
        <v>693</v>
      </c>
      <c r="B44" s="1436" t="s">
        <v>694</v>
      </c>
      <c r="C44" s="1427" t="s">
        <v>631</v>
      </c>
      <c r="D44" s="1428">
        <v>1644000</v>
      </c>
      <c r="E44" s="1439">
        <v>364000</v>
      </c>
      <c r="F44" s="1428">
        <v>364000</v>
      </c>
      <c r="G44" s="1428">
        <v>364000</v>
      </c>
      <c r="H44" s="1428">
        <v>364000</v>
      </c>
      <c r="I44" s="1428">
        <v>364000</v>
      </c>
      <c r="J44" s="1457">
        <f t="shared" si="6"/>
        <v>3464000</v>
      </c>
    </row>
    <row r="45" spans="1:10" s="1443" customFormat="1" ht="51" x14ac:dyDescent="0.2">
      <c r="A45" s="1444" t="s">
        <v>695</v>
      </c>
      <c r="B45" s="1436" t="s">
        <v>696</v>
      </c>
      <c r="C45" s="1427" t="s">
        <v>631</v>
      </c>
      <c r="D45" s="1428">
        <v>3604000</v>
      </c>
      <c r="E45" s="1439">
        <v>927000</v>
      </c>
      <c r="F45" s="1428">
        <v>927000</v>
      </c>
      <c r="G45" s="1428">
        <v>927000</v>
      </c>
      <c r="H45" s="1428">
        <v>927000</v>
      </c>
      <c r="I45" s="1428">
        <v>927000</v>
      </c>
      <c r="J45" s="1457">
        <f t="shared" si="6"/>
        <v>8239000</v>
      </c>
    </row>
    <row r="46" spans="1:10" s="1443" customFormat="1" ht="51" x14ac:dyDescent="0.2">
      <c r="A46" s="1444" t="s">
        <v>697</v>
      </c>
      <c r="B46" s="1436" t="s">
        <v>698</v>
      </c>
      <c r="C46" s="1427" t="s">
        <v>663</v>
      </c>
      <c r="D46" s="1428">
        <v>912000</v>
      </c>
      <c r="E46" s="1439">
        <v>228000</v>
      </c>
      <c r="F46" s="1428">
        <v>228000</v>
      </c>
      <c r="G46" s="1428">
        <v>228000</v>
      </c>
      <c r="H46" s="1428">
        <v>228000</v>
      </c>
      <c r="I46" s="1428">
        <v>228000</v>
      </c>
      <c r="J46" s="1457">
        <f t="shared" si="6"/>
        <v>2052000</v>
      </c>
    </row>
    <row r="47" spans="1:10" s="1443" customFormat="1" ht="38.25" x14ac:dyDescent="0.2">
      <c r="A47" s="1444" t="s">
        <v>699</v>
      </c>
      <c r="B47" s="1436" t="s">
        <v>700</v>
      </c>
      <c r="C47" s="1427" t="s">
        <v>645</v>
      </c>
      <c r="D47" s="1428">
        <v>108000</v>
      </c>
      <c r="E47" s="1439">
        <v>45720</v>
      </c>
      <c r="F47" s="1439">
        <v>45720</v>
      </c>
      <c r="G47" s="1439">
        <v>45720</v>
      </c>
      <c r="H47" s="1439">
        <v>45720</v>
      </c>
      <c r="I47" s="1439">
        <v>45720</v>
      </c>
      <c r="J47" s="1457">
        <f t="shared" si="6"/>
        <v>336600</v>
      </c>
    </row>
    <row r="48" spans="1:10" s="1443" customFormat="1" ht="38.25" x14ac:dyDescent="0.2">
      <c r="A48" s="1430" t="s">
        <v>701</v>
      </c>
      <c r="B48" s="1437" t="s">
        <v>702</v>
      </c>
      <c r="C48" s="1432" t="s">
        <v>645</v>
      </c>
      <c r="D48" s="1433">
        <v>336000</v>
      </c>
      <c r="E48" s="1466">
        <v>50800</v>
      </c>
      <c r="F48" s="1433">
        <v>50800</v>
      </c>
      <c r="G48" s="1433">
        <v>50800</v>
      </c>
      <c r="H48" s="1433">
        <v>50800</v>
      </c>
      <c r="I48" s="1433">
        <v>50800</v>
      </c>
      <c r="J48" s="1458">
        <f t="shared" si="6"/>
        <v>590000</v>
      </c>
    </row>
    <row r="49" spans="1:10" s="1443" customFormat="1" ht="38.25" x14ac:dyDescent="0.2">
      <c r="A49" s="1444" t="s">
        <v>715</v>
      </c>
      <c r="B49" s="1436" t="s">
        <v>716</v>
      </c>
      <c r="C49" s="1427" t="s">
        <v>706</v>
      </c>
      <c r="D49" s="1428"/>
      <c r="E49" s="1439">
        <v>760000</v>
      </c>
      <c r="F49" s="1428"/>
      <c r="G49" s="1428"/>
      <c r="H49" s="1428"/>
      <c r="I49" s="1428"/>
      <c r="J49" s="1457">
        <f t="shared" si="6"/>
        <v>760000</v>
      </c>
    </row>
    <row r="50" spans="1:10" s="1415" customFormat="1" ht="69" customHeight="1" thickBot="1" x14ac:dyDescent="0.25">
      <c r="A50" s="1725" t="s">
        <v>14</v>
      </c>
      <c r="B50" s="1726"/>
      <c r="C50" s="1459"/>
      <c r="D50" s="1460">
        <f t="shared" ref="D50:J50" si="7">D27+D18+D7</f>
        <v>93827401</v>
      </c>
      <c r="E50" s="1469"/>
      <c r="F50" s="1460">
        <f t="shared" si="7"/>
        <v>25171061</v>
      </c>
      <c r="G50" s="1460">
        <f t="shared" si="7"/>
        <v>24691061</v>
      </c>
      <c r="H50" s="1460">
        <f t="shared" si="7"/>
        <v>24691061</v>
      </c>
      <c r="I50" s="1460">
        <f t="shared" si="7"/>
        <v>77303755</v>
      </c>
      <c r="J50" s="1460">
        <f t="shared" si="7"/>
        <v>274023582</v>
      </c>
    </row>
    <row r="51" spans="1:10" s="1415" customFormat="1" ht="69" customHeight="1" x14ac:dyDescent="0.2">
      <c r="A51"/>
      <c r="B51"/>
      <c r="C51"/>
      <c r="D51"/>
      <c r="E51" s="236"/>
      <c r="F51"/>
      <c r="G51"/>
      <c r="H51"/>
      <c r="I51"/>
      <c r="J51"/>
    </row>
    <row r="52" spans="1:10" s="1415" customFormat="1" ht="69" customHeight="1" x14ac:dyDescent="0.2">
      <c r="A52"/>
      <c r="B52"/>
      <c r="C52"/>
      <c r="D52"/>
      <c r="E52" s="236"/>
      <c r="F52"/>
      <c r="G52"/>
      <c r="H52"/>
      <c r="I52"/>
      <c r="J52"/>
    </row>
    <row r="53" spans="1:10" s="1415" customFormat="1" ht="69" customHeight="1" x14ac:dyDescent="0.2">
      <c r="A53"/>
      <c r="B53"/>
      <c r="C53"/>
      <c r="D53"/>
      <c r="E53" s="236"/>
      <c r="F53"/>
      <c r="G53"/>
      <c r="H53"/>
      <c r="I53"/>
      <c r="J53"/>
    </row>
    <row r="54" spans="1:10" s="1415" customFormat="1" ht="69" customHeight="1" x14ac:dyDescent="0.2">
      <c r="A54"/>
      <c r="B54"/>
      <c r="C54"/>
      <c r="D54"/>
      <c r="E54" s="236"/>
      <c r="F54"/>
      <c r="G54"/>
      <c r="H54"/>
      <c r="I54"/>
      <c r="J54"/>
    </row>
    <row r="55" spans="1:10" s="1415" customFormat="1" ht="69" customHeight="1" x14ac:dyDescent="0.2">
      <c r="A55"/>
      <c r="B55"/>
      <c r="C55"/>
      <c r="D55"/>
      <c r="E55" s="236"/>
      <c r="F55"/>
      <c r="G55"/>
      <c r="H55"/>
      <c r="I55"/>
      <c r="J55"/>
    </row>
    <row r="56" spans="1:10" s="1415" customFormat="1" ht="69" customHeight="1" x14ac:dyDescent="0.2">
      <c r="A56"/>
      <c r="B56"/>
      <c r="C56"/>
      <c r="D56"/>
      <c r="E56" s="236"/>
      <c r="F56"/>
      <c r="G56"/>
      <c r="H56"/>
      <c r="I56"/>
      <c r="J56"/>
    </row>
    <row r="57" spans="1:10" s="1415" customFormat="1" ht="69" customHeight="1" x14ac:dyDescent="0.2">
      <c r="A57"/>
      <c r="B57"/>
      <c r="C57"/>
      <c r="D57"/>
      <c r="E57" s="236"/>
      <c r="F57"/>
      <c r="G57"/>
      <c r="H57"/>
      <c r="I57"/>
      <c r="J57"/>
    </row>
    <row r="58" spans="1:10" s="1415" customFormat="1" ht="69" customHeight="1" x14ac:dyDescent="0.2">
      <c r="A58"/>
      <c r="B58"/>
      <c r="C58"/>
      <c r="D58"/>
      <c r="E58" s="236"/>
      <c r="F58"/>
      <c r="G58"/>
      <c r="H58"/>
      <c r="I58"/>
      <c r="J58"/>
    </row>
    <row r="59" spans="1:10" s="1405" customFormat="1" ht="69" customHeight="1" x14ac:dyDescent="0.2">
      <c r="A59"/>
      <c r="B59"/>
      <c r="C59"/>
      <c r="D59"/>
      <c r="E59" s="236"/>
      <c r="F59"/>
      <c r="G59"/>
      <c r="H59"/>
      <c r="I59"/>
      <c r="J59"/>
    </row>
  </sheetData>
  <mergeCells count="9">
    <mergeCell ref="A50:B50"/>
    <mergeCell ref="E3:E4"/>
    <mergeCell ref="A1:J1"/>
    <mergeCell ref="A3:A4"/>
    <mergeCell ref="B3:B4"/>
    <mergeCell ref="C3:C4"/>
    <mergeCell ref="D3:D4"/>
    <mergeCell ref="F3:I3"/>
    <mergeCell ref="J3:J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Header>&amp;R6. sz. melléklet
...../2018. (....) Egyek Önk.</oddHeader>
  </headerFooter>
  <rowBreaks count="4" manualBreakCount="4">
    <brk id="11" max="9" man="1"/>
    <brk id="21" max="16383" man="1"/>
    <brk id="41" max="16383" man="1"/>
    <brk id="5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6" zoomScale="120" zoomScaleNormal="120" zoomScalePageLayoutView="110" workbookViewId="0">
      <selection activeCell="K17" sqref="K17"/>
    </sheetView>
  </sheetViews>
  <sheetFormatPr defaultRowHeight="12.75" x14ac:dyDescent="0.2"/>
  <cols>
    <col min="1" max="1" width="35.5703125" customWidth="1"/>
    <col min="2" max="2" width="30.7109375" customWidth="1"/>
    <col min="3" max="3" width="20.28515625" customWidth="1"/>
    <col min="4" max="4" width="20.28515625" style="604" customWidth="1"/>
    <col min="5" max="5" width="17" style="604" customWidth="1"/>
    <col min="6" max="6" width="17.42578125" style="301" customWidth="1"/>
    <col min="9" max="9" width="10" bestFit="1" customWidth="1"/>
    <col min="10" max="10" width="12.7109375" customWidth="1"/>
  </cols>
  <sheetData>
    <row r="1" spans="1:7" ht="15.75" customHeight="1" x14ac:dyDescent="0.2">
      <c r="A1" s="1500" t="s">
        <v>558</v>
      </c>
      <c r="B1" s="1500"/>
      <c r="C1" s="1500"/>
      <c r="D1" s="1500"/>
      <c r="E1" s="1500"/>
      <c r="F1" s="1500"/>
    </row>
    <row r="2" spans="1:7" ht="15.75" customHeight="1" x14ac:dyDescent="0.2">
      <c r="A2" s="1500"/>
      <c r="B2" s="1500"/>
      <c r="C2" s="1500"/>
      <c r="D2" s="1500"/>
      <c r="E2" s="1500"/>
      <c r="F2" s="1500"/>
    </row>
    <row r="3" spans="1:7" x14ac:dyDescent="0.2">
      <c r="F3" s="1301" t="s">
        <v>184</v>
      </c>
      <c r="G3" s="1300"/>
    </row>
    <row r="4" spans="1:7" ht="13.5" thickBot="1" x14ac:dyDescent="0.25"/>
    <row r="5" spans="1:7" ht="16.5" thickBot="1" x14ac:dyDescent="0.3">
      <c r="A5" s="309" t="s">
        <v>72</v>
      </c>
      <c r="B5" s="310" t="s">
        <v>151</v>
      </c>
      <c r="C5" s="310" t="s">
        <v>147</v>
      </c>
      <c r="D5" s="605" t="s">
        <v>152</v>
      </c>
      <c r="E5" s="605" t="s">
        <v>149</v>
      </c>
      <c r="F5" s="311" t="s">
        <v>150</v>
      </c>
    </row>
    <row r="6" spans="1:7" ht="24" x14ac:dyDescent="0.2">
      <c r="A6" s="1501" t="s">
        <v>80</v>
      </c>
      <c r="B6" s="1112" t="s">
        <v>52</v>
      </c>
      <c r="C6" s="1114"/>
      <c r="D6" s="593">
        <v>3451168</v>
      </c>
      <c r="E6" s="593">
        <v>3019772</v>
      </c>
      <c r="F6" s="612">
        <f t="shared" ref="F6" si="0">E6/D6*100</f>
        <v>87.5</v>
      </c>
    </row>
    <row r="7" spans="1:7" ht="24" x14ac:dyDescent="0.2">
      <c r="A7" s="1502"/>
      <c r="B7" s="1113" t="s">
        <v>57</v>
      </c>
      <c r="C7" s="1115"/>
      <c r="D7" s="595"/>
      <c r="E7" s="595"/>
      <c r="F7" s="612"/>
    </row>
    <row r="8" spans="1:7" x14ac:dyDescent="0.2">
      <c r="A8" s="1502"/>
      <c r="B8" s="1113" t="s">
        <v>70</v>
      </c>
      <c r="C8" s="1115"/>
      <c r="D8" s="595"/>
      <c r="E8" s="595"/>
      <c r="F8" s="612"/>
    </row>
    <row r="9" spans="1:7" x14ac:dyDescent="0.2">
      <c r="A9" s="1502"/>
      <c r="B9" s="1113" t="s">
        <v>50</v>
      </c>
      <c r="C9" s="1115">
        <v>45000</v>
      </c>
      <c r="D9" s="595">
        <v>538335</v>
      </c>
      <c r="E9" s="595">
        <v>518054</v>
      </c>
      <c r="F9" s="612">
        <f>E9/D9*100</f>
        <v>96.232643242590569</v>
      </c>
    </row>
    <row r="10" spans="1:7" x14ac:dyDescent="0.2">
      <c r="A10" s="1502"/>
      <c r="B10" s="1113" t="s">
        <v>71</v>
      </c>
      <c r="C10" s="1115"/>
      <c r="D10" s="595"/>
      <c r="E10" s="595"/>
      <c r="F10" s="302"/>
    </row>
    <row r="11" spans="1:7" ht="24" x14ac:dyDescent="0.2">
      <c r="A11" s="1502"/>
      <c r="B11" s="1113" t="s">
        <v>68</v>
      </c>
      <c r="C11" s="1115"/>
      <c r="D11" s="595"/>
      <c r="E11" s="595"/>
      <c r="F11" s="302"/>
    </row>
    <row r="12" spans="1:7" ht="24" x14ac:dyDescent="0.2">
      <c r="A12" s="1502"/>
      <c r="B12" s="1113" t="s">
        <v>59</v>
      </c>
      <c r="C12" s="1116"/>
      <c r="D12" s="595"/>
      <c r="E12" s="595"/>
      <c r="F12" s="302"/>
    </row>
    <row r="13" spans="1:7" x14ac:dyDescent="0.2">
      <c r="A13" s="1502"/>
      <c r="B13" s="1113" t="s">
        <v>66</v>
      </c>
      <c r="C13" s="1115">
        <v>2068000</v>
      </c>
      <c r="D13" s="595">
        <v>65074</v>
      </c>
      <c r="E13" s="595"/>
      <c r="F13" s="302"/>
    </row>
    <row r="14" spans="1:7" ht="13.5" thickBot="1" x14ac:dyDescent="0.25">
      <c r="A14" s="1503"/>
      <c r="B14" s="628" t="s">
        <v>11</v>
      </c>
      <c r="C14" s="613">
        <f>SUM(C6:C13)</f>
        <v>2113000</v>
      </c>
      <c r="D14" s="598">
        <f>SUM(D6:D13)</f>
        <v>4054577</v>
      </c>
      <c r="E14" s="598">
        <f>SUM(E6:E13)</f>
        <v>3537826</v>
      </c>
      <c r="F14" s="305">
        <f>E14/D14*100</f>
        <v>87.255119337972857</v>
      </c>
    </row>
    <row r="15" spans="1:7" ht="24" x14ac:dyDescent="0.2">
      <c r="A15" s="1504" t="s">
        <v>153</v>
      </c>
      <c r="B15" s="306" t="s">
        <v>52</v>
      </c>
      <c r="C15" s="307"/>
      <c r="D15" s="600"/>
      <c r="E15" s="600"/>
      <c r="F15" s="308"/>
    </row>
    <row r="16" spans="1:7" ht="24" x14ac:dyDescent="0.2">
      <c r="A16" s="1502"/>
      <c r="B16" s="174" t="s">
        <v>57</v>
      </c>
      <c r="C16" s="80"/>
      <c r="D16" s="595"/>
      <c r="E16" s="595"/>
      <c r="F16" s="302"/>
    </row>
    <row r="17" spans="1:6" x14ac:dyDescent="0.2">
      <c r="A17" s="1502"/>
      <c r="B17" s="174" t="s">
        <v>70</v>
      </c>
      <c r="C17" s="80"/>
      <c r="D17" s="595"/>
      <c r="E17" s="595"/>
      <c r="F17" s="302"/>
    </row>
    <row r="18" spans="1:6" x14ac:dyDescent="0.2">
      <c r="A18" s="1502"/>
      <c r="B18" s="174" t="s">
        <v>50</v>
      </c>
      <c r="C18" s="80"/>
      <c r="D18" s="595"/>
      <c r="E18" s="595"/>
      <c r="F18" s="302"/>
    </row>
    <row r="19" spans="1:6" x14ac:dyDescent="0.2">
      <c r="A19" s="1502"/>
      <c r="B19" s="174" t="s">
        <v>71</v>
      </c>
      <c r="C19" s="80"/>
      <c r="D19" s="595"/>
      <c r="E19" s="595"/>
      <c r="F19" s="302"/>
    </row>
    <row r="20" spans="1:6" ht="24" x14ac:dyDescent="0.2">
      <c r="A20" s="1502"/>
      <c r="B20" s="174" t="s">
        <v>68</v>
      </c>
      <c r="C20" s="80"/>
      <c r="D20" s="595"/>
      <c r="E20" s="595"/>
      <c r="F20" s="302"/>
    </row>
    <row r="21" spans="1:6" ht="24" x14ac:dyDescent="0.2">
      <c r="A21" s="1502"/>
      <c r="B21" s="174" t="s">
        <v>59</v>
      </c>
      <c r="C21" s="176"/>
      <c r="D21" s="595"/>
      <c r="E21" s="595"/>
      <c r="F21" s="302"/>
    </row>
    <row r="22" spans="1:6" x14ac:dyDescent="0.2">
      <c r="A22" s="1502"/>
      <c r="B22" s="174" t="s">
        <v>66</v>
      </c>
      <c r="C22" s="80"/>
      <c r="D22" s="595"/>
      <c r="E22" s="595"/>
      <c r="F22" s="302"/>
    </row>
    <row r="23" spans="1:6" ht="13.5" thickBot="1" x14ac:dyDescent="0.25">
      <c r="A23" s="1505"/>
      <c r="B23" s="248" t="s">
        <v>11</v>
      </c>
      <c r="C23" s="249">
        <f>SUM(C15:C22)</f>
        <v>0</v>
      </c>
      <c r="D23" s="601">
        <f>SUM(D15:D22)</f>
        <v>0</v>
      </c>
      <c r="E23" s="601">
        <f>SUM(E15:E22)</f>
        <v>0</v>
      </c>
      <c r="F23" s="303"/>
    </row>
    <row r="24" spans="1:6" ht="24" x14ac:dyDescent="0.2">
      <c r="A24" s="1497" t="s">
        <v>559</v>
      </c>
      <c r="B24" s="606" t="s">
        <v>52</v>
      </c>
      <c r="C24" s="607"/>
      <c r="D24" s="608">
        <v>1751136</v>
      </c>
      <c r="E24" s="608">
        <v>1762855</v>
      </c>
      <c r="F24" s="612">
        <f t="shared" ref="F24" si="1">E24/D24%</f>
        <v>100.6692227217075</v>
      </c>
    </row>
    <row r="25" spans="1:6" ht="24" x14ac:dyDescent="0.2">
      <c r="A25" s="1498"/>
      <c r="B25" s="609" t="s">
        <v>57</v>
      </c>
      <c r="C25" s="610"/>
      <c r="D25" s="611"/>
      <c r="E25" s="611"/>
      <c r="F25" s="612"/>
    </row>
    <row r="26" spans="1:6" x14ac:dyDescent="0.2">
      <c r="A26" s="1498"/>
      <c r="B26" s="609" t="s">
        <v>70</v>
      </c>
      <c r="C26" s="610"/>
      <c r="D26" s="611"/>
      <c r="E26" s="611"/>
      <c r="F26" s="612"/>
    </row>
    <row r="27" spans="1:6" x14ac:dyDescent="0.2">
      <c r="A27" s="1498"/>
      <c r="B27" s="609" t="s">
        <v>50</v>
      </c>
      <c r="C27" s="610"/>
      <c r="D27" s="611"/>
      <c r="E27" s="611"/>
      <c r="F27" s="612"/>
    </row>
    <row r="28" spans="1:6" x14ac:dyDescent="0.2">
      <c r="A28" s="1498"/>
      <c r="B28" s="609" t="s">
        <v>71</v>
      </c>
      <c r="C28" s="610"/>
      <c r="D28" s="611"/>
      <c r="E28" s="611"/>
      <c r="F28" s="612"/>
    </row>
    <row r="29" spans="1:6" ht="24" x14ac:dyDescent="0.2">
      <c r="A29" s="1498"/>
      <c r="B29" s="609" t="s">
        <v>68</v>
      </c>
      <c r="C29" s="610"/>
      <c r="D29" s="611"/>
      <c r="E29" s="611"/>
      <c r="F29" s="612"/>
    </row>
    <row r="30" spans="1:6" ht="24" x14ac:dyDescent="0.2">
      <c r="A30" s="1498"/>
      <c r="B30" s="609" t="s">
        <v>59</v>
      </c>
      <c r="C30" s="610"/>
      <c r="D30" s="611"/>
      <c r="E30" s="611"/>
      <c r="F30" s="612"/>
    </row>
    <row r="31" spans="1:6" x14ac:dyDescent="0.2">
      <c r="A31" s="1498"/>
      <c r="B31" s="609" t="s">
        <v>66</v>
      </c>
      <c r="C31" s="610"/>
      <c r="D31" s="611"/>
      <c r="E31" s="611"/>
      <c r="F31" s="612"/>
    </row>
    <row r="32" spans="1:6" ht="13.5" thickBot="1" x14ac:dyDescent="0.25">
      <c r="A32" s="1499"/>
      <c r="B32" s="614" t="s">
        <v>11</v>
      </c>
      <c r="C32" s="613">
        <f>SUM(C24:C31)</f>
        <v>0</v>
      </c>
      <c r="D32" s="86">
        <f>SUM(D24:D31)</f>
        <v>1751136</v>
      </c>
      <c r="E32" s="86">
        <f>SUM(E24:E31)</f>
        <v>1762855</v>
      </c>
      <c r="F32" s="305">
        <f>E32/D32%</f>
        <v>100.6692227217075</v>
      </c>
    </row>
    <row r="33" spans="1:6" ht="24" customHeight="1" x14ac:dyDescent="0.2">
      <c r="A33" s="1497" t="s">
        <v>313</v>
      </c>
      <c r="B33" s="606" t="s">
        <v>52</v>
      </c>
      <c r="C33" s="607"/>
      <c r="D33" s="608"/>
      <c r="E33" s="608"/>
      <c r="F33" s="617"/>
    </row>
    <row r="34" spans="1:6" ht="24" x14ac:dyDescent="0.2">
      <c r="A34" s="1498"/>
      <c r="B34" s="609" t="s">
        <v>57</v>
      </c>
      <c r="C34" s="610"/>
      <c r="D34" s="611"/>
      <c r="E34" s="611"/>
      <c r="F34" s="612"/>
    </row>
    <row r="35" spans="1:6" x14ac:dyDescent="0.2">
      <c r="A35" s="1498"/>
      <c r="B35" s="609" t="s">
        <v>70</v>
      </c>
      <c r="C35" s="610"/>
      <c r="D35" s="611"/>
      <c r="E35" s="611"/>
      <c r="F35" s="612"/>
    </row>
    <row r="36" spans="1:6" x14ac:dyDescent="0.2">
      <c r="A36" s="1498"/>
      <c r="B36" s="609" t="s">
        <v>50</v>
      </c>
      <c r="C36" s="610"/>
      <c r="D36" s="611"/>
      <c r="E36" s="611"/>
      <c r="F36" s="612"/>
    </row>
    <row r="37" spans="1:6" x14ac:dyDescent="0.2">
      <c r="A37" s="1498"/>
      <c r="B37" s="609" t="s">
        <v>71</v>
      </c>
      <c r="C37" s="610"/>
      <c r="D37" s="611"/>
      <c r="E37" s="611"/>
      <c r="F37" s="612"/>
    </row>
    <row r="38" spans="1:6" ht="24" x14ac:dyDescent="0.2">
      <c r="A38" s="1498"/>
      <c r="B38" s="609" t="s">
        <v>68</v>
      </c>
      <c r="C38" s="610"/>
      <c r="D38" s="611"/>
      <c r="E38" s="611"/>
      <c r="F38" s="612"/>
    </row>
    <row r="39" spans="1:6" ht="24" x14ac:dyDescent="0.2">
      <c r="A39" s="1498"/>
      <c r="B39" s="609" t="s">
        <v>59</v>
      </c>
      <c r="C39" s="610"/>
      <c r="D39" s="611"/>
      <c r="E39" s="611"/>
      <c r="F39" s="612"/>
    </row>
    <row r="40" spans="1:6" x14ac:dyDescent="0.2">
      <c r="A40" s="1498"/>
      <c r="B40" s="609" t="s">
        <v>66</v>
      </c>
      <c r="C40" s="610">
        <v>120072333</v>
      </c>
      <c r="D40" s="611">
        <v>123514792</v>
      </c>
      <c r="E40" s="611">
        <v>115630148</v>
      </c>
      <c r="F40" s="612">
        <f>E40/D40%</f>
        <v>93.616437454713932</v>
      </c>
    </row>
    <row r="41" spans="1:6" ht="13.5" thickBot="1" x14ac:dyDescent="0.25">
      <c r="A41" s="1499"/>
      <c r="B41" s="614" t="s">
        <v>11</v>
      </c>
      <c r="C41" s="613">
        <f>SUM(C33:C40)</f>
        <v>120072333</v>
      </c>
      <c r="D41" s="86">
        <f>SUM(D33:D40)</f>
        <v>123514792</v>
      </c>
      <c r="E41" s="86">
        <f>SUM(E33:E40)</f>
        <v>115630148</v>
      </c>
      <c r="F41" s="305">
        <f>E41/D41%</f>
        <v>93.616437454713932</v>
      </c>
    </row>
    <row r="42" spans="1:6" ht="24.75" thickBot="1" x14ac:dyDescent="0.25">
      <c r="A42" s="1497" t="s">
        <v>11</v>
      </c>
      <c r="B42" s="615" t="s">
        <v>52</v>
      </c>
      <c r="C42" s="622">
        <f t="shared" ref="C42:C49" si="2">SUM(C33+C15+C6)</f>
        <v>0</v>
      </c>
      <c r="D42" s="622">
        <f>SUM(D33+D15+D6)+D24</f>
        <v>5202304</v>
      </c>
      <c r="E42" s="622">
        <f>SUM(E33+E15+E6)+E24</f>
        <v>4782627</v>
      </c>
      <c r="F42" s="616">
        <f t="shared" ref="F42" si="3">E42/D42*100</f>
        <v>91.93286282385651</v>
      </c>
    </row>
    <row r="43" spans="1:6" ht="24.75" thickBot="1" x14ac:dyDescent="0.25">
      <c r="A43" s="1498"/>
      <c r="B43" s="615" t="s">
        <v>57</v>
      </c>
      <c r="C43" s="618">
        <f t="shared" si="2"/>
        <v>0</v>
      </c>
      <c r="D43" s="618">
        <f t="shared" ref="D43:E49" si="4">SUM(D34+D16+D7)</f>
        <v>0</v>
      </c>
      <c r="E43" s="618">
        <f t="shared" si="4"/>
        <v>0</v>
      </c>
      <c r="F43" s="616"/>
    </row>
    <row r="44" spans="1:6" ht="13.5" thickBot="1" x14ac:dyDescent="0.25">
      <c r="A44" s="1498"/>
      <c r="B44" s="615" t="s">
        <v>70</v>
      </c>
      <c r="C44" s="618">
        <f t="shared" si="2"/>
        <v>0</v>
      </c>
      <c r="D44" s="618">
        <f t="shared" si="4"/>
        <v>0</v>
      </c>
      <c r="E44" s="618">
        <f t="shared" si="4"/>
        <v>0</v>
      </c>
      <c r="F44" s="616"/>
    </row>
    <row r="45" spans="1:6" ht="13.5" thickBot="1" x14ac:dyDescent="0.25">
      <c r="A45" s="1498"/>
      <c r="B45" s="619" t="s">
        <v>50</v>
      </c>
      <c r="C45" s="618">
        <f t="shared" si="2"/>
        <v>45000</v>
      </c>
      <c r="D45" s="618">
        <f t="shared" si="4"/>
        <v>538335</v>
      </c>
      <c r="E45" s="618">
        <f t="shared" si="4"/>
        <v>518054</v>
      </c>
      <c r="F45" s="616">
        <f t="shared" ref="F45:F50" si="5">E45/D45*100</f>
        <v>96.232643242590569</v>
      </c>
    </row>
    <row r="46" spans="1:6" ht="13.5" thickBot="1" x14ac:dyDescent="0.25">
      <c r="A46" s="1498"/>
      <c r="B46" s="615" t="s">
        <v>71</v>
      </c>
      <c r="C46" s="618">
        <f t="shared" si="2"/>
        <v>0</v>
      </c>
      <c r="D46" s="618">
        <f t="shared" si="4"/>
        <v>0</v>
      </c>
      <c r="E46" s="618">
        <f t="shared" si="4"/>
        <v>0</v>
      </c>
      <c r="F46" s="620"/>
    </row>
    <row r="47" spans="1:6" ht="24.75" thickBot="1" x14ac:dyDescent="0.25">
      <c r="A47" s="1498"/>
      <c r="B47" s="615" t="s">
        <v>68</v>
      </c>
      <c r="C47" s="618">
        <f t="shared" si="2"/>
        <v>0</v>
      </c>
      <c r="D47" s="618">
        <f t="shared" si="4"/>
        <v>0</v>
      </c>
      <c r="E47" s="618">
        <f t="shared" si="4"/>
        <v>0</v>
      </c>
      <c r="F47" s="616"/>
    </row>
    <row r="48" spans="1:6" ht="24.75" thickBot="1" x14ac:dyDescent="0.25">
      <c r="A48" s="1498"/>
      <c r="B48" s="615" t="s">
        <v>59</v>
      </c>
      <c r="C48" s="618">
        <f t="shared" si="2"/>
        <v>0</v>
      </c>
      <c r="D48" s="618">
        <f t="shared" si="4"/>
        <v>0</v>
      </c>
      <c r="E48" s="618">
        <f t="shared" si="4"/>
        <v>0</v>
      </c>
      <c r="F48" s="620"/>
    </row>
    <row r="49" spans="1:6" ht="13.5" thickBot="1" x14ac:dyDescent="0.25">
      <c r="A49" s="1498"/>
      <c r="B49" s="615" t="s">
        <v>66</v>
      </c>
      <c r="C49" s="618">
        <f t="shared" si="2"/>
        <v>122140333</v>
      </c>
      <c r="D49" s="618">
        <f t="shared" si="4"/>
        <v>123579866</v>
      </c>
      <c r="E49" s="618">
        <f t="shared" si="4"/>
        <v>115630148</v>
      </c>
      <c r="F49" s="616">
        <f t="shared" si="5"/>
        <v>93.567141430627544</v>
      </c>
    </row>
    <row r="50" spans="1:6" ht="13.5" thickBot="1" x14ac:dyDescent="0.25">
      <c r="A50" s="1499"/>
      <c r="B50" s="621" t="s">
        <v>11</v>
      </c>
      <c r="C50" s="622">
        <f>SUM(C42:C49)</f>
        <v>122185333</v>
      </c>
      <c r="D50" s="622">
        <f>SUM(D42:D49)</f>
        <v>129320505</v>
      </c>
      <c r="E50" s="622">
        <f>SUM(E42:E49)</f>
        <v>120930829</v>
      </c>
      <c r="F50" s="623">
        <f t="shared" si="5"/>
        <v>93.51249362968386</v>
      </c>
    </row>
    <row r="51" spans="1:6" x14ac:dyDescent="0.2">
      <c r="F51" s="624"/>
    </row>
  </sheetData>
  <mergeCells count="6">
    <mergeCell ref="A33:A41"/>
    <mergeCell ref="A42:A50"/>
    <mergeCell ref="A1:F2"/>
    <mergeCell ref="A6:A14"/>
    <mergeCell ref="A15:A23"/>
    <mergeCell ref="A24:A32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scaleWithDoc="0" alignWithMargins="0">
    <oddHeader>&amp;R1.2.sz. melléklete
......./2019.(V.30.) Egyek Önk.</oddHeader>
  </headerFooter>
  <rowBreaks count="1" manualBreakCount="1">
    <brk id="5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Layout" topLeftCell="A25" zoomScaleNormal="100" workbookViewId="0">
      <selection activeCell="D57" sqref="D57"/>
    </sheetView>
  </sheetViews>
  <sheetFormatPr defaultRowHeight="12.75" x14ac:dyDescent="0.2"/>
  <cols>
    <col min="1" max="1" width="35.5703125" customWidth="1"/>
    <col min="2" max="2" width="30.7109375" customWidth="1"/>
    <col min="3" max="4" width="20.28515625" customWidth="1"/>
    <col min="5" max="5" width="17" customWidth="1"/>
    <col min="6" max="6" width="16.28515625" customWidth="1"/>
    <col min="9" max="9" width="10" bestFit="1" customWidth="1"/>
    <col min="10" max="10" width="12.7109375" customWidth="1"/>
  </cols>
  <sheetData>
    <row r="1" spans="1:7" ht="15.75" customHeight="1" x14ac:dyDescent="0.2">
      <c r="A1" s="1500" t="s">
        <v>560</v>
      </c>
      <c r="B1" s="1500"/>
      <c r="C1" s="1500"/>
      <c r="D1" s="1500"/>
      <c r="E1" s="1500"/>
      <c r="F1" s="1500"/>
    </row>
    <row r="2" spans="1:7" ht="15.75" customHeight="1" x14ac:dyDescent="0.2">
      <c r="A2" s="1500"/>
      <c r="B2" s="1500"/>
      <c r="C2" s="1500"/>
      <c r="D2" s="1500"/>
      <c r="E2" s="1500"/>
      <c r="F2" s="1500"/>
    </row>
    <row r="3" spans="1:7" x14ac:dyDescent="0.2">
      <c r="D3" s="604"/>
      <c r="E3" s="604"/>
      <c r="F3" s="1301" t="s">
        <v>184</v>
      </c>
      <c r="G3" s="1300"/>
    </row>
    <row r="4" spans="1:7" ht="13.5" thickBot="1" x14ac:dyDescent="0.25">
      <c r="D4" s="604"/>
      <c r="E4" s="604"/>
      <c r="F4" s="1292"/>
    </row>
    <row r="5" spans="1:7" ht="16.5" thickBot="1" x14ac:dyDescent="0.3">
      <c r="A5" s="309" t="s">
        <v>72</v>
      </c>
      <c r="B5" s="310" t="s">
        <v>151</v>
      </c>
      <c r="C5" s="310" t="s">
        <v>147</v>
      </c>
      <c r="D5" s="605" t="s">
        <v>152</v>
      </c>
      <c r="E5" s="605" t="s">
        <v>149</v>
      </c>
      <c r="F5" s="311" t="s">
        <v>150</v>
      </c>
    </row>
    <row r="6" spans="1:7" ht="24" x14ac:dyDescent="0.2">
      <c r="A6" s="1501" t="s">
        <v>80</v>
      </c>
      <c r="B6" s="1112" t="s">
        <v>52</v>
      </c>
      <c r="C6" s="1114"/>
      <c r="D6" s="593">
        <v>3451168</v>
      </c>
      <c r="E6" s="593">
        <v>3019772</v>
      </c>
      <c r="F6" s="612">
        <f t="shared" ref="F6" si="0">E6/D6*100</f>
        <v>87.5</v>
      </c>
    </row>
    <row r="7" spans="1:7" ht="24" x14ac:dyDescent="0.2">
      <c r="A7" s="1502"/>
      <c r="B7" s="1113" t="s">
        <v>57</v>
      </c>
      <c r="C7" s="1115"/>
      <c r="D7" s="595"/>
      <c r="E7" s="595"/>
      <c r="F7" s="612"/>
    </row>
    <row r="8" spans="1:7" x14ac:dyDescent="0.2">
      <c r="A8" s="1502"/>
      <c r="B8" s="1113" t="s">
        <v>70</v>
      </c>
      <c r="C8" s="1115"/>
      <c r="D8" s="595"/>
      <c r="E8" s="595"/>
      <c r="F8" s="612"/>
    </row>
    <row r="9" spans="1:7" x14ac:dyDescent="0.2">
      <c r="A9" s="1502"/>
      <c r="B9" s="1113" t="s">
        <v>50</v>
      </c>
      <c r="C9" s="1115">
        <v>45000</v>
      </c>
      <c r="D9" s="595">
        <v>538335</v>
      </c>
      <c r="E9" s="595">
        <v>518054</v>
      </c>
      <c r="F9" s="612">
        <f>E9/D9*100</f>
        <v>96.232643242590569</v>
      </c>
    </row>
    <row r="10" spans="1:7" x14ac:dyDescent="0.2">
      <c r="A10" s="1502"/>
      <c r="B10" s="1113" t="s">
        <v>71</v>
      </c>
      <c r="C10" s="1115"/>
      <c r="D10" s="595"/>
      <c r="E10" s="595"/>
      <c r="F10" s="302"/>
    </row>
    <row r="11" spans="1:7" ht="24" x14ac:dyDescent="0.2">
      <c r="A11" s="1502"/>
      <c r="B11" s="1113" t="s">
        <v>68</v>
      </c>
      <c r="C11" s="1115"/>
      <c r="D11" s="595"/>
      <c r="E11" s="595"/>
      <c r="F11" s="302"/>
    </row>
    <row r="12" spans="1:7" ht="24" x14ac:dyDescent="0.2">
      <c r="A12" s="1502"/>
      <c r="B12" s="1113" t="s">
        <v>59</v>
      </c>
      <c r="C12" s="1116"/>
      <c r="D12" s="595"/>
      <c r="E12" s="595"/>
      <c r="F12" s="302"/>
    </row>
    <row r="13" spans="1:7" x14ac:dyDescent="0.2">
      <c r="A13" s="1502"/>
      <c r="B13" s="1113" t="s">
        <v>66</v>
      </c>
      <c r="C13" s="1115">
        <v>2068000</v>
      </c>
      <c r="D13" s="595">
        <v>65074</v>
      </c>
      <c r="E13" s="595"/>
      <c r="F13" s="302"/>
    </row>
    <row r="14" spans="1:7" ht="13.5" thickBot="1" x14ac:dyDescent="0.25">
      <c r="A14" s="1503"/>
      <c r="B14" s="628" t="s">
        <v>11</v>
      </c>
      <c r="C14" s="613">
        <f>SUM(C6:C13)</f>
        <v>2113000</v>
      </c>
      <c r="D14" s="598">
        <f>SUM(D6:D13)</f>
        <v>4054577</v>
      </c>
      <c r="E14" s="598">
        <f>SUM(E6:E13)</f>
        <v>3537826</v>
      </c>
      <c r="F14" s="305">
        <f>E14/D14*100</f>
        <v>87.255119337972857</v>
      </c>
    </row>
    <row r="15" spans="1:7" ht="24" x14ac:dyDescent="0.2">
      <c r="A15" s="1504" t="s">
        <v>153</v>
      </c>
      <c r="B15" s="306" t="s">
        <v>52</v>
      </c>
      <c r="C15" s="307"/>
      <c r="D15" s="600"/>
      <c r="E15" s="600"/>
      <c r="F15" s="308"/>
    </row>
    <row r="16" spans="1:7" ht="24" x14ac:dyDescent="0.2">
      <c r="A16" s="1502"/>
      <c r="B16" s="174" t="s">
        <v>57</v>
      </c>
      <c r="C16" s="80"/>
      <c r="D16" s="595"/>
      <c r="E16" s="595"/>
      <c r="F16" s="302"/>
    </row>
    <row r="17" spans="1:6" x14ac:dyDescent="0.2">
      <c r="A17" s="1502"/>
      <c r="B17" s="174" t="s">
        <v>70</v>
      </c>
      <c r="C17" s="80"/>
      <c r="D17" s="595"/>
      <c r="E17" s="595"/>
      <c r="F17" s="302"/>
    </row>
    <row r="18" spans="1:6" x14ac:dyDescent="0.2">
      <c r="A18" s="1502"/>
      <c r="B18" s="174" t="s">
        <v>50</v>
      </c>
      <c r="C18" s="80"/>
      <c r="D18" s="595"/>
      <c r="E18" s="595"/>
      <c r="F18" s="302"/>
    </row>
    <row r="19" spans="1:6" x14ac:dyDescent="0.2">
      <c r="A19" s="1502"/>
      <c r="B19" s="174" t="s">
        <v>71</v>
      </c>
      <c r="C19" s="80"/>
      <c r="D19" s="595"/>
      <c r="E19" s="595"/>
      <c r="F19" s="302"/>
    </row>
    <row r="20" spans="1:6" ht="24" x14ac:dyDescent="0.2">
      <c r="A20" s="1502"/>
      <c r="B20" s="174" t="s">
        <v>68</v>
      </c>
      <c r="C20" s="80"/>
      <c r="D20" s="595"/>
      <c r="E20" s="595"/>
      <c r="F20" s="302"/>
    </row>
    <row r="21" spans="1:6" ht="24" x14ac:dyDescent="0.2">
      <c r="A21" s="1502"/>
      <c r="B21" s="174" t="s">
        <v>59</v>
      </c>
      <c r="C21" s="176"/>
      <c r="D21" s="595"/>
      <c r="E21" s="595"/>
      <c r="F21" s="302"/>
    </row>
    <row r="22" spans="1:6" x14ac:dyDescent="0.2">
      <c r="A22" s="1502"/>
      <c r="B22" s="174" t="s">
        <v>66</v>
      </c>
      <c r="C22" s="80"/>
      <c r="D22" s="595"/>
      <c r="E22" s="595"/>
      <c r="F22" s="302"/>
    </row>
    <row r="23" spans="1:6" ht="13.5" thickBot="1" x14ac:dyDescent="0.25">
      <c r="A23" s="1505"/>
      <c r="B23" s="248" t="s">
        <v>11</v>
      </c>
      <c r="C23" s="249">
        <f>SUM(C15:C22)</f>
        <v>0</v>
      </c>
      <c r="D23" s="601">
        <f>SUM(D15:D22)</f>
        <v>0</v>
      </c>
      <c r="E23" s="601">
        <f>SUM(E15:E22)</f>
        <v>0</v>
      </c>
      <c r="F23" s="303"/>
    </row>
    <row r="24" spans="1:6" ht="24" x14ac:dyDescent="0.2">
      <c r="A24" s="1497" t="s">
        <v>559</v>
      </c>
      <c r="B24" s="606" t="s">
        <v>52</v>
      </c>
      <c r="C24" s="607"/>
      <c r="D24" s="608">
        <v>1751136</v>
      </c>
      <c r="E24" s="608">
        <v>1762855</v>
      </c>
      <c r="F24" s="612">
        <f t="shared" ref="F24" si="1">E24/D24%</f>
        <v>100.6692227217075</v>
      </c>
    </row>
    <row r="25" spans="1:6" ht="24" x14ac:dyDescent="0.2">
      <c r="A25" s="1498"/>
      <c r="B25" s="609" t="s">
        <v>57</v>
      </c>
      <c r="C25" s="610"/>
      <c r="D25" s="611"/>
      <c r="E25" s="611"/>
      <c r="F25" s="612"/>
    </row>
    <row r="26" spans="1:6" x14ac:dyDescent="0.2">
      <c r="A26" s="1498"/>
      <c r="B26" s="609" t="s">
        <v>70</v>
      </c>
      <c r="C26" s="610"/>
      <c r="D26" s="611"/>
      <c r="E26" s="611"/>
      <c r="F26" s="612"/>
    </row>
    <row r="27" spans="1:6" x14ac:dyDescent="0.2">
      <c r="A27" s="1498"/>
      <c r="B27" s="609" t="s">
        <v>50</v>
      </c>
      <c r="C27" s="610"/>
      <c r="D27" s="611"/>
      <c r="E27" s="611"/>
      <c r="F27" s="612"/>
    </row>
    <row r="28" spans="1:6" x14ac:dyDescent="0.2">
      <c r="A28" s="1498"/>
      <c r="B28" s="609" t="s">
        <v>71</v>
      </c>
      <c r="C28" s="610"/>
      <c r="D28" s="611"/>
      <c r="E28" s="611"/>
      <c r="F28" s="612"/>
    </row>
    <row r="29" spans="1:6" ht="24" x14ac:dyDescent="0.2">
      <c r="A29" s="1498"/>
      <c r="B29" s="609" t="s">
        <v>68</v>
      </c>
      <c r="C29" s="610"/>
      <c r="D29" s="611"/>
      <c r="E29" s="611"/>
      <c r="F29" s="612"/>
    </row>
    <row r="30" spans="1:6" ht="24" x14ac:dyDescent="0.2">
      <c r="A30" s="1498"/>
      <c r="B30" s="609" t="s">
        <v>59</v>
      </c>
      <c r="C30" s="610"/>
      <c r="D30" s="611"/>
      <c r="E30" s="611"/>
      <c r="F30" s="612"/>
    </row>
    <row r="31" spans="1:6" x14ac:dyDescent="0.2">
      <c r="A31" s="1498"/>
      <c r="B31" s="609" t="s">
        <v>66</v>
      </c>
      <c r="C31" s="610"/>
      <c r="D31" s="611"/>
      <c r="E31" s="611"/>
      <c r="F31" s="612"/>
    </row>
    <row r="32" spans="1:6" ht="13.5" thickBot="1" x14ac:dyDescent="0.25">
      <c r="A32" s="1499"/>
      <c r="B32" s="614" t="s">
        <v>11</v>
      </c>
      <c r="C32" s="613">
        <f>SUM(C24:C31)</f>
        <v>0</v>
      </c>
      <c r="D32" s="86">
        <f>SUM(D24:D31)</f>
        <v>1751136</v>
      </c>
      <c r="E32" s="86">
        <f>SUM(E24:E31)</f>
        <v>1762855</v>
      </c>
      <c r="F32" s="305">
        <f>E32/D32%</f>
        <v>100.6692227217075</v>
      </c>
    </row>
    <row r="33" spans="1:6" ht="24" customHeight="1" x14ac:dyDescent="0.2">
      <c r="A33" s="1497" t="s">
        <v>313</v>
      </c>
      <c r="B33" s="606" t="s">
        <v>52</v>
      </c>
      <c r="C33" s="607"/>
      <c r="D33" s="608"/>
      <c r="E33" s="608"/>
      <c r="F33" s="617"/>
    </row>
    <row r="34" spans="1:6" ht="24" x14ac:dyDescent="0.2">
      <c r="A34" s="1498"/>
      <c r="B34" s="609" t="s">
        <v>57</v>
      </c>
      <c r="C34" s="610"/>
      <c r="D34" s="611"/>
      <c r="E34" s="611"/>
      <c r="F34" s="612"/>
    </row>
    <row r="35" spans="1:6" x14ac:dyDescent="0.2">
      <c r="A35" s="1498"/>
      <c r="B35" s="609" t="s">
        <v>70</v>
      </c>
      <c r="C35" s="610"/>
      <c r="D35" s="611"/>
      <c r="E35" s="611"/>
      <c r="F35" s="612"/>
    </row>
    <row r="36" spans="1:6" x14ac:dyDescent="0.2">
      <c r="A36" s="1498"/>
      <c r="B36" s="609" t="s">
        <v>50</v>
      </c>
      <c r="C36" s="610"/>
      <c r="D36" s="611"/>
      <c r="E36" s="611"/>
      <c r="F36" s="612"/>
    </row>
    <row r="37" spans="1:6" x14ac:dyDescent="0.2">
      <c r="A37" s="1498"/>
      <c r="B37" s="609" t="s">
        <v>71</v>
      </c>
      <c r="C37" s="610"/>
      <c r="D37" s="611"/>
      <c r="E37" s="611"/>
      <c r="F37" s="612"/>
    </row>
    <row r="38" spans="1:6" ht="24" x14ac:dyDescent="0.2">
      <c r="A38" s="1498"/>
      <c r="B38" s="609" t="s">
        <v>68</v>
      </c>
      <c r="C38" s="610"/>
      <c r="D38" s="611"/>
      <c r="E38" s="611"/>
      <c r="F38" s="612"/>
    </row>
    <row r="39" spans="1:6" ht="24" x14ac:dyDescent="0.2">
      <c r="A39" s="1498"/>
      <c r="B39" s="609" t="s">
        <v>59</v>
      </c>
      <c r="C39" s="610"/>
      <c r="D39" s="611"/>
      <c r="E39" s="611"/>
      <c r="F39" s="612"/>
    </row>
    <row r="40" spans="1:6" x14ac:dyDescent="0.2">
      <c r="A40" s="1498"/>
      <c r="B40" s="609" t="s">
        <v>66</v>
      </c>
      <c r="C40" s="610">
        <v>120072333</v>
      </c>
      <c r="D40" s="611">
        <v>123514792</v>
      </c>
      <c r="E40" s="611">
        <v>115630148</v>
      </c>
      <c r="F40" s="612">
        <f>E40/D40%</f>
        <v>93.616437454713932</v>
      </c>
    </row>
    <row r="41" spans="1:6" ht="13.5" thickBot="1" x14ac:dyDescent="0.25">
      <c r="A41" s="1499"/>
      <c r="B41" s="614" t="s">
        <v>11</v>
      </c>
      <c r="C41" s="613">
        <f>SUM(C33:C40)</f>
        <v>120072333</v>
      </c>
      <c r="D41" s="86">
        <f>SUM(D33:D40)</f>
        <v>123514792</v>
      </c>
      <c r="E41" s="86">
        <f>SUM(E33:E40)</f>
        <v>115630148</v>
      </c>
      <c r="F41" s="305">
        <f>E41/D41%</f>
        <v>93.616437454713932</v>
      </c>
    </row>
    <row r="42" spans="1:6" ht="24.75" thickBot="1" x14ac:dyDescent="0.25">
      <c r="A42" s="1497" t="s">
        <v>11</v>
      </c>
      <c r="B42" s="615" t="s">
        <v>52</v>
      </c>
      <c r="C42" s="622">
        <f t="shared" ref="C42:C49" si="2">SUM(C33+C15+C6)</f>
        <v>0</v>
      </c>
      <c r="D42" s="622">
        <f>SUM(D33+D15+D6)+D24</f>
        <v>5202304</v>
      </c>
      <c r="E42" s="622">
        <f>SUM(E33+E15+E6)+E24</f>
        <v>4782627</v>
      </c>
      <c r="F42" s="616">
        <f t="shared" ref="F42" si="3">E42/D42*100</f>
        <v>91.93286282385651</v>
      </c>
    </row>
    <row r="43" spans="1:6" ht="24.75" thickBot="1" x14ac:dyDescent="0.25">
      <c r="A43" s="1498"/>
      <c r="B43" s="615" t="s">
        <v>57</v>
      </c>
      <c r="C43" s="618">
        <f t="shared" si="2"/>
        <v>0</v>
      </c>
      <c r="D43" s="618">
        <f t="shared" ref="D43:E49" si="4">SUM(D34+D16+D7)</f>
        <v>0</v>
      </c>
      <c r="E43" s="618">
        <f t="shared" si="4"/>
        <v>0</v>
      </c>
      <c r="F43" s="616"/>
    </row>
    <row r="44" spans="1:6" ht="13.5" thickBot="1" x14ac:dyDescent="0.25">
      <c r="A44" s="1498"/>
      <c r="B44" s="615" t="s">
        <v>70</v>
      </c>
      <c r="C44" s="618">
        <f t="shared" si="2"/>
        <v>0</v>
      </c>
      <c r="D44" s="618">
        <f t="shared" si="4"/>
        <v>0</v>
      </c>
      <c r="E44" s="618">
        <f t="shared" si="4"/>
        <v>0</v>
      </c>
      <c r="F44" s="616"/>
    </row>
    <row r="45" spans="1:6" ht="13.5" thickBot="1" x14ac:dyDescent="0.25">
      <c r="A45" s="1498"/>
      <c r="B45" s="619" t="s">
        <v>50</v>
      </c>
      <c r="C45" s="618">
        <f t="shared" si="2"/>
        <v>45000</v>
      </c>
      <c r="D45" s="618">
        <f t="shared" si="4"/>
        <v>538335</v>
      </c>
      <c r="E45" s="618">
        <f t="shared" si="4"/>
        <v>518054</v>
      </c>
      <c r="F45" s="616">
        <f t="shared" ref="F45:F50" si="5">E45/D45*100</f>
        <v>96.232643242590569</v>
      </c>
    </row>
    <row r="46" spans="1:6" ht="13.5" thickBot="1" x14ac:dyDescent="0.25">
      <c r="A46" s="1498"/>
      <c r="B46" s="615" t="s">
        <v>71</v>
      </c>
      <c r="C46" s="618">
        <f t="shared" si="2"/>
        <v>0</v>
      </c>
      <c r="D46" s="618">
        <f t="shared" si="4"/>
        <v>0</v>
      </c>
      <c r="E46" s="618">
        <f t="shared" si="4"/>
        <v>0</v>
      </c>
      <c r="F46" s="620"/>
    </row>
    <row r="47" spans="1:6" ht="24.75" thickBot="1" x14ac:dyDescent="0.25">
      <c r="A47" s="1498"/>
      <c r="B47" s="615" t="s">
        <v>68</v>
      </c>
      <c r="C47" s="618">
        <f t="shared" si="2"/>
        <v>0</v>
      </c>
      <c r="D47" s="618">
        <f t="shared" si="4"/>
        <v>0</v>
      </c>
      <c r="E47" s="618">
        <f t="shared" si="4"/>
        <v>0</v>
      </c>
      <c r="F47" s="616"/>
    </row>
    <row r="48" spans="1:6" ht="24.75" thickBot="1" x14ac:dyDescent="0.25">
      <c r="A48" s="1498"/>
      <c r="B48" s="615" t="s">
        <v>59</v>
      </c>
      <c r="C48" s="618">
        <f t="shared" si="2"/>
        <v>0</v>
      </c>
      <c r="D48" s="618">
        <f t="shared" si="4"/>
        <v>0</v>
      </c>
      <c r="E48" s="618">
        <f t="shared" si="4"/>
        <v>0</v>
      </c>
      <c r="F48" s="620"/>
    </row>
    <row r="49" spans="1:6" ht="13.5" thickBot="1" x14ac:dyDescent="0.25">
      <c r="A49" s="1498"/>
      <c r="B49" s="615" t="s">
        <v>66</v>
      </c>
      <c r="C49" s="618">
        <f t="shared" si="2"/>
        <v>122140333</v>
      </c>
      <c r="D49" s="618">
        <f t="shared" si="4"/>
        <v>123579866</v>
      </c>
      <c r="E49" s="618">
        <f t="shared" si="4"/>
        <v>115630148</v>
      </c>
      <c r="F49" s="616">
        <f t="shared" si="5"/>
        <v>93.567141430627544</v>
      </c>
    </row>
    <row r="50" spans="1:6" ht="13.5" thickBot="1" x14ac:dyDescent="0.25">
      <c r="A50" s="1499"/>
      <c r="B50" s="621" t="s">
        <v>11</v>
      </c>
      <c r="C50" s="622">
        <f>SUM(C42:C49)</f>
        <v>122185333</v>
      </c>
      <c r="D50" s="622">
        <f>SUM(D42:D49)</f>
        <v>129320505</v>
      </c>
      <c r="E50" s="622">
        <f>SUM(E42:E49)</f>
        <v>120930829</v>
      </c>
      <c r="F50" s="623">
        <f t="shared" si="5"/>
        <v>93.51249362968386</v>
      </c>
    </row>
  </sheetData>
  <mergeCells count="6">
    <mergeCell ref="A42:A50"/>
    <mergeCell ref="A1:F2"/>
    <mergeCell ref="A6:A14"/>
    <mergeCell ref="A15:A23"/>
    <mergeCell ref="A24:A32"/>
    <mergeCell ref="A33:A41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scaleWithDoc="0" alignWithMargins="0">
    <oddHeader>&amp;R1.2)a.sz. melléklete
....../2019.(V.30.) Egyek Önk.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6" zoomScale="120" zoomScaleNormal="120" workbookViewId="0">
      <selection activeCell="E14" sqref="E14"/>
    </sheetView>
  </sheetViews>
  <sheetFormatPr defaultRowHeight="12.75" x14ac:dyDescent="0.2"/>
  <cols>
    <col min="1" max="1" width="32.5703125" customWidth="1"/>
    <col min="2" max="2" width="34.140625" customWidth="1"/>
    <col min="3" max="3" width="17.42578125" style="604" customWidth="1"/>
    <col min="4" max="4" width="16.7109375" style="604" customWidth="1"/>
    <col min="5" max="5" width="15.7109375" style="604" customWidth="1"/>
    <col min="6" max="6" width="16.5703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6" ht="15.75" customHeight="1" x14ac:dyDescent="0.2">
      <c r="A1" s="1500" t="s">
        <v>540</v>
      </c>
      <c r="B1" s="1500"/>
      <c r="C1" s="1500"/>
      <c r="D1" s="1500"/>
      <c r="E1" s="1500"/>
    </row>
    <row r="2" spans="1:6" ht="12.75" customHeight="1" x14ac:dyDescent="0.2">
      <c r="A2" s="1500"/>
      <c r="B2" s="1500"/>
      <c r="C2" s="1500"/>
      <c r="D2" s="1500"/>
      <c r="E2" s="1500"/>
    </row>
    <row r="4" spans="1:6" ht="13.5" thickBot="1" x14ac:dyDescent="0.25">
      <c r="E4" s="1506" t="s">
        <v>184</v>
      </c>
      <c r="F4" s="1506"/>
    </row>
    <row r="5" spans="1:6" ht="16.5" thickBot="1" x14ac:dyDescent="0.3">
      <c r="A5" s="309" t="s">
        <v>72</v>
      </c>
      <c r="B5" s="310" t="s">
        <v>151</v>
      </c>
      <c r="C5" s="592" t="s">
        <v>147</v>
      </c>
      <c r="D5" s="592" t="s">
        <v>152</v>
      </c>
      <c r="E5" s="592" t="s">
        <v>149</v>
      </c>
      <c r="F5" s="331" t="s">
        <v>150</v>
      </c>
    </row>
    <row r="6" spans="1:6" ht="24" x14ac:dyDescent="0.2">
      <c r="A6" s="1507" t="s">
        <v>313</v>
      </c>
      <c r="B6" s="304" t="s">
        <v>52</v>
      </c>
      <c r="C6" s="1296"/>
      <c r="D6" s="1296"/>
      <c r="E6" s="1296"/>
      <c r="F6" s="1297"/>
    </row>
    <row r="7" spans="1:6" ht="24" x14ac:dyDescent="0.2">
      <c r="A7" s="1508"/>
      <c r="B7" s="174" t="s">
        <v>57</v>
      </c>
      <c r="C7" s="1295"/>
      <c r="D7" s="1295"/>
      <c r="E7" s="1295"/>
      <c r="F7" s="1298"/>
    </row>
    <row r="8" spans="1:6" x14ac:dyDescent="0.2">
      <c r="A8" s="1508"/>
      <c r="B8" s="174" t="s">
        <v>70</v>
      </c>
      <c r="C8" s="1295"/>
      <c r="D8" s="1295"/>
      <c r="E8" s="1295"/>
      <c r="F8" s="1298"/>
    </row>
    <row r="9" spans="1:6" x14ac:dyDescent="0.2">
      <c r="A9" s="1508"/>
      <c r="B9" s="174" t="s">
        <v>50</v>
      </c>
      <c r="C9" s="1295"/>
      <c r="D9" s="1295"/>
      <c r="E9" s="1295"/>
      <c r="F9" s="1298"/>
    </row>
    <row r="10" spans="1:6" x14ac:dyDescent="0.2">
      <c r="A10" s="1508"/>
      <c r="B10" s="174" t="s">
        <v>71</v>
      </c>
      <c r="C10" s="1295"/>
      <c r="D10" s="1295"/>
      <c r="E10" s="1295"/>
      <c r="F10" s="1298"/>
    </row>
    <row r="11" spans="1:6" x14ac:dyDescent="0.2">
      <c r="A11" s="1508"/>
      <c r="B11" s="174" t="s">
        <v>68</v>
      </c>
      <c r="C11" s="1295"/>
      <c r="D11" s="1295"/>
      <c r="E11" s="1295"/>
      <c r="F11" s="1298"/>
    </row>
    <row r="12" spans="1:6" ht="24" x14ac:dyDescent="0.2">
      <c r="A12" s="1508"/>
      <c r="B12" s="174" t="s">
        <v>59</v>
      </c>
      <c r="C12" s="1295"/>
      <c r="D12" s="1295"/>
      <c r="E12" s="1295"/>
      <c r="F12" s="1298"/>
    </row>
    <row r="13" spans="1:6" x14ac:dyDescent="0.2">
      <c r="A13" s="1508"/>
      <c r="B13" s="174" t="s">
        <v>66</v>
      </c>
      <c r="C13" s="1295">
        <v>12839820</v>
      </c>
      <c r="D13" s="1295">
        <v>13169304</v>
      </c>
      <c r="E13" s="1295">
        <v>12347588</v>
      </c>
      <c r="F13" s="1299">
        <f>E13/D13*100</f>
        <v>93.760368809164092</v>
      </c>
    </row>
    <row r="14" spans="1:6" ht="13.5" thickBot="1" x14ac:dyDescent="0.25">
      <c r="A14" s="1509"/>
      <c r="B14" s="175" t="s">
        <v>11</v>
      </c>
      <c r="C14" s="1294">
        <f>SUM(C6:C13)</f>
        <v>12839820</v>
      </c>
      <c r="D14" s="1294">
        <f t="shared" ref="D14:E14" si="0">SUM(D6:D13)</f>
        <v>13169304</v>
      </c>
      <c r="E14" s="1294">
        <f t="shared" si="0"/>
        <v>12347588</v>
      </c>
      <c r="F14" s="599">
        <f>E14/D14*100</f>
        <v>93.760368809164092</v>
      </c>
    </row>
    <row r="15" spans="1:6" ht="24" x14ac:dyDescent="0.2">
      <c r="A15" s="1501" t="s">
        <v>83</v>
      </c>
      <c r="B15" s="304" t="s">
        <v>52</v>
      </c>
      <c r="C15" s="593"/>
      <c r="D15" s="593">
        <v>99456</v>
      </c>
      <c r="E15" s="593">
        <v>49456</v>
      </c>
      <c r="F15" s="1297">
        <f>E15/D15*100</f>
        <v>49.726512226512227</v>
      </c>
    </row>
    <row r="16" spans="1:6" ht="24" x14ac:dyDescent="0.2">
      <c r="A16" s="1502"/>
      <c r="B16" s="174" t="s">
        <v>57</v>
      </c>
      <c r="C16" s="595"/>
      <c r="D16" s="595"/>
      <c r="E16" s="595"/>
      <c r="F16" s="596"/>
    </row>
    <row r="17" spans="1:6" x14ac:dyDescent="0.2">
      <c r="A17" s="1502"/>
      <c r="B17" s="174" t="s">
        <v>70</v>
      </c>
      <c r="C17" s="595"/>
      <c r="D17" s="595"/>
      <c r="E17" s="595"/>
      <c r="F17" s="596"/>
    </row>
    <row r="18" spans="1:6" x14ac:dyDescent="0.2">
      <c r="A18" s="1502"/>
      <c r="B18" s="174" t="s">
        <v>50</v>
      </c>
      <c r="C18" s="595">
        <v>384000</v>
      </c>
      <c r="D18" s="595">
        <v>1943000</v>
      </c>
      <c r="E18" s="595">
        <v>762721</v>
      </c>
      <c r="F18" s="596">
        <f>E18/D18*100</f>
        <v>39.254812146165726</v>
      </c>
    </row>
    <row r="19" spans="1:6" x14ac:dyDescent="0.2">
      <c r="A19" s="1502"/>
      <c r="B19" s="174" t="s">
        <v>71</v>
      </c>
      <c r="C19" s="595"/>
      <c r="D19" s="595"/>
      <c r="E19" s="595"/>
      <c r="F19" s="596"/>
    </row>
    <row r="20" spans="1:6" x14ac:dyDescent="0.2">
      <c r="A20" s="1502"/>
      <c r="B20" s="174" t="s">
        <v>68</v>
      </c>
      <c r="C20" s="595"/>
      <c r="D20" s="595"/>
      <c r="E20" s="595"/>
      <c r="F20" s="596"/>
    </row>
    <row r="21" spans="1:6" ht="24" x14ac:dyDescent="0.2">
      <c r="A21" s="1502"/>
      <c r="B21" s="174" t="s">
        <v>59</v>
      </c>
      <c r="C21" s="597"/>
      <c r="D21" s="595"/>
      <c r="E21" s="595"/>
      <c r="F21" s="596"/>
    </row>
    <row r="22" spans="1:6" x14ac:dyDescent="0.2">
      <c r="A22" s="1502"/>
      <c r="B22" s="174" t="s">
        <v>66</v>
      </c>
      <c r="C22" s="595"/>
      <c r="D22" s="595"/>
      <c r="E22" s="595"/>
      <c r="F22" s="596"/>
    </row>
    <row r="23" spans="1:6" ht="13.5" thickBot="1" x14ac:dyDescent="0.25">
      <c r="A23" s="1505"/>
      <c r="B23" s="248" t="s">
        <v>11</v>
      </c>
      <c r="C23" s="601">
        <f>SUM(C15:C22)</f>
        <v>384000</v>
      </c>
      <c r="D23" s="601">
        <f>SUM(D15:D22)</f>
        <v>2042456</v>
      </c>
      <c r="E23" s="601">
        <f>SUM(E15:E22)</f>
        <v>812177</v>
      </c>
      <c r="F23" s="602">
        <f>E23/D23*100</f>
        <v>39.764724429804119</v>
      </c>
    </row>
    <row r="24" spans="1:6" ht="24" x14ac:dyDescent="0.2">
      <c r="A24" s="1507" t="s">
        <v>541</v>
      </c>
      <c r="B24" s="304" t="s">
        <v>52</v>
      </c>
      <c r="C24" s="593"/>
      <c r="D24" s="593"/>
      <c r="E24" s="593"/>
      <c r="F24" s="1297"/>
    </row>
    <row r="25" spans="1:6" ht="24" x14ac:dyDescent="0.2">
      <c r="A25" s="1508"/>
      <c r="B25" s="174" t="s">
        <v>57</v>
      </c>
      <c r="C25" s="595"/>
      <c r="D25" s="595"/>
      <c r="E25" s="595"/>
      <c r="F25" s="596"/>
    </row>
    <row r="26" spans="1:6" x14ac:dyDescent="0.2">
      <c r="A26" s="1508"/>
      <c r="B26" s="174" t="s">
        <v>70</v>
      </c>
      <c r="C26" s="595"/>
      <c r="D26" s="595"/>
      <c r="E26" s="595"/>
      <c r="F26" s="596"/>
    </row>
    <row r="27" spans="1:6" x14ac:dyDescent="0.2">
      <c r="A27" s="1508"/>
      <c r="B27" s="174" t="s">
        <v>50</v>
      </c>
      <c r="C27" s="595"/>
      <c r="D27" s="595"/>
      <c r="E27" s="595"/>
      <c r="F27" s="596"/>
    </row>
    <row r="28" spans="1:6" x14ac:dyDescent="0.2">
      <c r="A28" s="1508"/>
      <c r="B28" s="174" t="s">
        <v>71</v>
      </c>
      <c r="C28" s="595"/>
      <c r="D28" s="595"/>
      <c r="E28" s="595"/>
      <c r="F28" s="596"/>
    </row>
    <row r="29" spans="1:6" x14ac:dyDescent="0.2">
      <c r="A29" s="1508"/>
      <c r="B29" s="174" t="s">
        <v>68</v>
      </c>
      <c r="C29" s="595"/>
      <c r="D29" s="595"/>
      <c r="E29" s="595"/>
      <c r="F29" s="596"/>
    </row>
    <row r="30" spans="1:6" ht="24" x14ac:dyDescent="0.2">
      <c r="A30" s="1508"/>
      <c r="B30" s="174" t="s">
        <v>59</v>
      </c>
      <c r="C30" s="597"/>
      <c r="D30" s="595"/>
      <c r="E30" s="595"/>
      <c r="F30" s="596"/>
    </row>
    <row r="31" spans="1:6" x14ac:dyDescent="0.2">
      <c r="A31" s="1508"/>
      <c r="B31" s="174" t="s">
        <v>66</v>
      </c>
      <c r="C31" s="595">
        <v>200000</v>
      </c>
      <c r="D31" s="595">
        <v>200000</v>
      </c>
      <c r="E31" s="595">
        <v>190248</v>
      </c>
      <c r="F31" s="596"/>
    </row>
    <row r="32" spans="1:6" ht="13.5" thickBot="1" x14ac:dyDescent="0.25">
      <c r="A32" s="1509"/>
      <c r="B32" s="248" t="s">
        <v>11</v>
      </c>
      <c r="C32" s="601">
        <f>SUM(C24:C31)</f>
        <v>200000</v>
      </c>
      <c r="D32" s="601">
        <f>SUM(D24:D31)</f>
        <v>200000</v>
      </c>
      <c r="E32" s="601">
        <f>SUM(E24:E31)</f>
        <v>190248</v>
      </c>
      <c r="F32" s="602">
        <f>E32/D32*100</f>
        <v>95.123999999999995</v>
      </c>
    </row>
    <row r="33" spans="1:6" ht="24.75" thickBot="1" x14ac:dyDescent="0.25">
      <c r="A33" s="1501" t="s">
        <v>11</v>
      </c>
      <c r="B33" s="304" t="s">
        <v>52</v>
      </c>
      <c r="C33" s="603">
        <f>C6+C15+C24</f>
        <v>0</v>
      </c>
      <c r="D33" s="603">
        <f t="shared" ref="D33:E33" si="1">D6+D15+D24</f>
        <v>99456</v>
      </c>
      <c r="E33" s="603">
        <f t="shared" si="1"/>
        <v>49456</v>
      </c>
      <c r="F33" s="594">
        <f t="shared" ref="F33" si="2">E33/D33*100</f>
        <v>49.726512226512227</v>
      </c>
    </row>
    <row r="34" spans="1:6" ht="24.75" thickBot="1" x14ac:dyDescent="0.25">
      <c r="A34" s="1502"/>
      <c r="B34" s="174" t="s">
        <v>57</v>
      </c>
      <c r="C34" s="603">
        <f t="shared" ref="C34:E34" si="3">C7+C16+C25</f>
        <v>0</v>
      </c>
      <c r="D34" s="603">
        <f t="shared" si="3"/>
        <v>0</v>
      </c>
      <c r="E34" s="603">
        <f t="shared" si="3"/>
        <v>0</v>
      </c>
      <c r="F34" s="596"/>
    </row>
    <row r="35" spans="1:6" ht="13.5" thickBot="1" x14ac:dyDescent="0.25">
      <c r="A35" s="1502"/>
      <c r="B35" s="174" t="s">
        <v>70</v>
      </c>
      <c r="C35" s="603">
        <f t="shared" ref="C35:E35" si="4">C8+C17+C26</f>
        <v>0</v>
      </c>
      <c r="D35" s="603">
        <f t="shared" si="4"/>
        <v>0</v>
      </c>
      <c r="E35" s="603">
        <f t="shared" si="4"/>
        <v>0</v>
      </c>
      <c r="F35" s="596"/>
    </row>
    <row r="36" spans="1:6" ht="13.5" thickBot="1" x14ac:dyDescent="0.25">
      <c r="A36" s="1502"/>
      <c r="B36" s="174" t="s">
        <v>50</v>
      </c>
      <c r="C36" s="603">
        <f t="shared" ref="C36:E36" si="5">C9+C18+C27</f>
        <v>384000</v>
      </c>
      <c r="D36" s="603">
        <f t="shared" si="5"/>
        <v>1943000</v>
      </c>
      <c r="E36" s="603">
        <f t="shared" si="5"/>
        <v>762721</v>
      </c>
      <c r="F36" s="596">
        <f>E36/D36*100</f>
        <v>39.254812146165726</v>
      </c>
    </row>
    <row r="37" spans="1:6" ht="13.5" thickBot="1" x14ac:dyDescent="0.25">
      <c r="A37" s="1502"/>
      <c r="B37" s="174" t="s">
        <v>71</v>
      </c>
      <c r="C37" s="603">
        <f t="shared" ref="C37:E37" si="6">C10+C19+C28</f>
        <v>0</v>
      </c>
      <c r="D37" s="603">
        <f t="shared" si="6"/>
        <v>0</v>
      </c>
      <c r="E37" s="603">
        <f t="shared" si="6"/>
        <v>0</v>
      </c>
      <c r="F37" s="596"/>
    </row>
    <row r="38" spans="1:6" ht="13.5" thickBot="1" x14ac:dyDescent="0.25">
      <c r="A38" s="1502"/>
      <c r="B38" s="174" t="s">
        <v>68</v>
      </c>
      <c r="C38" s="603">
        <f t="shared" ref="C38:E38" si="7">C11+C20+C29</f>
        <v>0</v>
      </c>
      <c r="D38" s="603">
        <f t="shared" si="7"/>
        <v>0</v>
      </c>
      <c r="E38" s="603">
        <f t="shared" si="7"/>
        <v>0</v>
      </c>
      <c r="F38" s="596"/>
    </row>
    <row r="39" spans="1:6" ht="24.75" thickBot="1" x14ac:dyDescent="0.25">
      <c r="A39" s="1502"/>
      <c r="B39" s="174" t="s">
        <v>59</v>
      </c>
      <c r="C39" s="603">
        <f t="shared" ref="C39:E39" si="8">C12+C21+C30</f>
        <v>0</v>
      </c>
      <c r="D39" s="603">
        <f t="shared" si="8"/>
        <v>0</v>
      </c>
      <c r="E39" s="603">
        <f t="shared" si="8"/>
        <v>0</v>
      </c>
      <c r="F39" s="596"/>
    </row>
    <row r="40" spans="1:6" ht="13.5" thickBot="1" x14ac:dyDescent="0.25">
      <c r="A40" s="1502"/>
      <c r="B40" s="174" t="s">
        <v>66</v>
      </c>
      <c r="C40" s="603">
        <f t="shared" ref="C40:E40" si="9">C13+C22+C31</f>
        <v>13039820</v>
      </c>
      <c r="D40" s="603">
        <f t="shared" si="9"/>
        <v>13369304</v>
      </c>
      <c r="E40" s="603">
        <f t="shared" si="9"/>
        <v>12537836</v>
      </c>
      <c r="F40" s="596">
        <f>E40/D40*100</f>
        <v>93.78076824343286</v>
      </c>
    </row>
    <row r="41" spans="1:6" ht="13.5" thickBot="1" x14ac:dyDescent="0.25">
      <c r="A41" s="1503"/>
      <c r="B41" s="175" t="s">
        <v>11</v>
      </c>
      <c r="C41" s="603">
        <f>SUM(C33:C40)</f>
        <v>13423820</v>
      </c>
      <c r="D41" s="603">
        <f t="shared" ref="D41:E41" si="10">SUM(D33:D40)</f>
        <v>15411760</v>
      </c>
      <c r="E41" s="603">
        <f t="shared" si="10"/>
        <v>13350013</v>
      </c>
      <c r="F41" s="599">
        <f>E41/D41*100</f>
        <v>86.622248205266629</v>
      </c>
    </row>
  </sheetData>
  <mergeCells count="6">
    <mergeCell ref="A33:A41"/>
    <mergeCell ref="E4:F4"/>
    <mergeCell ref="A6:A14"/>
    <mergeCell ref="A1:E2"/>
    <mergeCell ref="A24:A32"/>
    <mergeCell ref="A15:A23"/>
  </mergeCells>
  <pageMargins left="0.74803149606299213" right="0.74803149606299213" top="0.98425196850393704" bottom="0.98425196850393704" header="0.51181102362204722" footer="0.51181102362204722"/>
  <pageSetup paperSize="9" scale="55" orientation="portrait" r:id="rId1"/>
  <headerFooter alignWithMargins="0">
    <oddHeader>&amp;R1.3.sz. melléklete
........./2019.(V.30.) Egyek Önk.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6" zoomScaleNormal="100" workbookViewId="0">
      <selection activeCell="E14" sqref="E14"/>
    </sheetView>
  </sheetViews>
  <sheetFormatPr defaultRowHeight="12.75" x14ac:dyDescent="0.2"/>
  <cols>
    <col min="1" max="1" width="32.5703125" customWidth="1"/>
    <col min="2" max="2" width="34.140625" customWidth="1"/>
    <col min="3" max="3" width="17.42578125" customWidth="1"/>
    <col min="4" max="4" width="16.7109375" customWidth="1"/>
    <col min="5" max="5" width="15.7109375" customWidth="1"/>
    <col min="6" max="6" width="18.42578125" customWidth="1"/>
    <col min="7" max="7" width="15.28515625" customWidth="1"/>
    <col min="8" max="8" width="15.42578125" customWidth="1"/>
    <col min="9" max="9" width="13.28515625" customWidth="1"/>
    <col min="10" max="10" width="17.5703125" customWidth="1"/>
  </cols>
  <sheetData>
    <row r="1" spans="1:6" ht="15.75" customHeight="1" x14ac:dyDescent="0.2">
      <c r="A1" s="1500" t="s">
        <v>542</v>
      </c>
      <c r="B1" s="1500"/>
      <c r="C1" s="1500"/>
      <c r="D1" s="1500"/>
      <c r="E1" s="1500"/>
      <c r="F1" s="1500"/>
    </row>
    <row r="2" spans="1:6" ht="12.75" customHeight="1" x14ac:dyDescent="0.2">
      <c r="A2" s="1500"/>
      <c r="B2" s="1500"/>
      <c r="C2" s="1500"/>
      <c r="D2" s="1500"/>
      <c r="E2" s="1500"/>
      <c r="F2" s="1500"/>
    </row>
    <row r="4" spans="1:6" ht="13.5" thickBot="1" x14ac:dyDescent="0.25">
      <c r="C4" s="604"/>
      <c r="D4" s="604"/>
      <c r="E4" s="1506" t="s">
        <v>184</v>
      </c>
      <c r="F4" s="1506"/>
    </row>
    <row r="5" spans="1:6" ht="16.5" thickBot="1" x14ac:dyDescent="0.3">
      <c r="A5" s="309" t="s">
        <v>72</v>
      </c>
      <c r="B5" s="310" t="s">
        <v>151</v>
      </c>
      <c r="C5" s="592" t="s">
        <v>147</v>
      </c>
      <c r="D5" s="592" t="s">
        <v>152</v>
      </c>
      <c r="E5" s="592" t="s">
        <v>149</v>
      </c>
      <c r="F5" s="331" t="s">
        <v>150</v>
      </c>
    </row>
    <row r="6" spans="1:6" ht="24" x14ac:dyDescent="0.2">
      <c r="A6" s="1507" t="s">
        <v>313</v>
      </c>
      <c r="B6" s="304" t="s">
        <v>52</v>
      </c>
      <c r="C6" s="1296"/>
      <c r="D6" s="1296"/>
      <c r="E6" s="1296"/>
      <c r="F6" s="1297"/>
    </row>
    <row r="7" spans="1:6" ht="24" x14ac:dyDescent="0.2">
      <c r="A7" s="1508"/>
      <c r="B7" s="174" t="s">
        <v>57</v>
      </c>
      <c r="C7" s="1295"/>
      <c r="D7" s="1295"/>
      <c r="E7" s="1295"/>
      <c r="F7" s="1298"/>
    </row>
    <row r="8" spans="1:6" x14ac:dyDescent="0.2">
      <c r="A8" s="1508"/>
      <c r="B8" s="174" t="s">
        <v>70</v>
      </c>
      <c r="C8" s="1295"/>
      <c r="D8" s="1295"/>
      <c r="E8" s="1295"/>
      <c r="F8" s="1298"/>
    </row>
    <row r="9" spans="1:6" x14ac:dyDescent="0.2">
      <c r="A9" s="1508"/>
      <c r="B9" s="174" t="s">
        <v>50</v>
      </c>
      <c r="C9" s="1295"/>
      <c r="D9" s="1295"/>
      <c r="E9" s="1295"/>
      <c r="F9" s="1298"/>
    </row>
    <row r="10" spans="1:6" x14ac:dyDescent="0.2">
      <c r="A10" s="1508"/>
      <c r="B10" s="174" t="s">
        <v>71</v>
      </c>
      <c r="C10" s="1295"/>
      <c r="D10" s="1295"/>
      <c r="E10" s="1295"/>
      <c r="F10" s="1298"/>
    </row>
    <row r="11" spans="1:6" x14ac:dyDescent="0.2">
      <c r="A11" s="1508"/>
      <c r="B11" s="174" t="s">
        <v>68</v>
      </c>
      <c r="C11" s="1295"/>
      <c r="D11" s="1295"/>
      <c r="E11" s="1295"/>
      <c r="F11" s="1298"/>
    </row>
    <row r="12" spans="1:6" ht="24" x14ac:dyDescent="0.2">
      <c r="A12" s="1508"/>
      <c r="B12" s="174" t="s">
        <v>59</v>
      </c>
      <c r="C12" s="1295"/>
      <c r="D12" s="1295"/>
      <c r="E12" s="1295"/>
      <c r="F12" s="1298"/>
    </row>
    <row r="13" spans="1:6" x14ac:dyDescent="0.2">
      <c r="A13" s="1508"/>
      <c r="B13" s="174" t="s">
        <v>66</v>
      </c>
      <c r="C13" s="1295">
        <v>12839820</v>
      </c>
      <c r="D13" s="1295">
        <v>13169304</v>
      </c>
      <c r="E13" s="1295">
        <v>12347588</v>
      </c>
      <c r="F13" s="1299">
        <f>E13/D13*100</f>
        <v>93.760368809164092</v>
      </c>
    </row>
    <row r="14" spans="1:6" ht="13.5" thickBot="1" x14ac:dyDescent="0.25">
      <c r="A14" s="1509"/>
      <c r="B14" s="175" t="s">
        <v>11</v>
      </c>
      <c r="C14" s="1294">
        <f>SUM(C6:C13)</f>
        <v>12839820</v>
      </c>
      <c r="D14" s="1294">
        <f t="shared" ref="D14:E14" si="0">SUM(D6:D13)</f>
        <v>13169304</v>
      </c>
      <c r="E14" s="1294">
        <f t="shared" si="0"/>
        <v>12347588</v>
      </c>
      <c r="F14" s="599">
        <f>E14/D14*100</f>
        <v>93.760368809164092</v>
      </c>
    </row>
    <row r="15" spans="1:6" ht="24" x14ac:dyDescent="0.2">
      <c r="A15" s="1501" t="s">
        <v>83</v>
      </c>
      <c r="B15" s="304" t="s">
        <v>52</v>
      </c>
      <c r="C15" s="593"/>
      <c r="D15" s="593">
        <v>99456</v>
      </c>
      <c r="E15" s="593">
        <v>49456</v>
      </c>
      <c r="F15" s="1297">
        <f>E15/D15*100</f>
        <v>49.726512226512227</v>
      </c>
    </row>
    <row r="16" spans="1:6" ht="24" x14ac:dyDescent="0.2">
      <c r="A16" s="1502"/>
      <c r="B16" s="174" t="s">
        <v>57</v>
      </c>
      <c r="C16" s="595"/>
      <c r="D16" s="595"/>
      <c r="E16" s="595"/>
      <c r="F16" s="596"/>
    </row>
    <row r="17" spans="1:6" x14ac:dyDescent="0.2">
      <c r="A17" s="1502"/>
      <c r="B17" s="174" t="s">
        <v>70</v>
      </c>
      <c r="C17" s="595"/>
      <c r="D17" s="595"/>
      <c r="E17" s="595"/>
      <c r="F17" s="596"/>
    </row>
    <row r="18" spans="1:6" x14ac:dyDescent="0.2">
      <c r="A18" s="1502"/>
      <c r="B18" s="174" t="s">
        <v>50</v>
      </c>
      <c r="C18" s="595">
        <v>384000</v>
      </c>
      <c r="D18" s="595">
        <v>1943000</v>
      </c>
      <c r="E18" s="595">
        <v>762721</v>
      </c>
      <c r="F18" s="596">
        <f>E18/D18*100</f>
        <v>39.254812146165726</v>
      </c>
    </row>
    <row r="19" spans="1:6" x14ac:dyDescent="0.2">
      <c r="A19" s="1502"/>
      <c r="B19" s="174" t="s">
        <v>71</v>
      </c>
      <c r="C19" s="595"/>
      <c r="D19" s="595"/>
      <c r="E19" s="595"/>
      <c r="F19" s="596"/>
    </row>
    <row r="20" spans="1:6" x14ac:dyDescent="0.2">
      <c r="A20" s="1502"/>
      <c r="B20" s="174" t="s">
        <v>68</v>
      </c>
      <c r="C20" s="595"/>
      <c r="D20" s="595"/>
      <c r="E20" s="595"/>
      <c r="F20" s="596"/>
    </row>
    <row r="21" spans="1:6" ht="24" x14ac:dyDescent="0.2">
      <c r="A21" s="1502"/>
      <c r="B21" s="174" t="s">
        <v>59</v>
      </c>
      <c r="C21" s="597"/>
      <c r="D21" s="595"/>
      <c r="E21" s="595"/>
      <c r="F21" s="596"/>
    </row>
    <row r="22" spans="1:6" x14ac:dyDescent="0.2">
      <c r="A22" s="1502"/>
      <c r="B22" s="174" t="s">
        <v>66</v>
      </c>
      <c r="C22" s="595"/>
      <c r="D22" s="595"/>
      <c r="E22" s="595"/>
      <c r="F22" s="596"/>
    </row>
    <row r="23" spans="1:6" ht="13.5" thickBot="1" x14ac:dyDescent="0.25">
      <c r="A23" s="1505"/>
      <c r="B23" s="248" t="s">
        <v>11</v>
      </c>
      <c r="C23" s="601">
        <f>SUM(C15:C22)</f>
        <v>384000</v>
      </c>
      <c r="D23" s="601">
        <f>SUM(D15:D22)</f>
        <v>2042456</v>
      </c>
      <c r="E23" s="601">
        <f>SUM(E15:E22)</f>
        <v>812177</v>
      </c>
      <c r="F23" s="602">
        <f>E23/D23*100</f>
        <v>39.764724429804119</v>
      </c>
    </row>
    <row r="24" spans="1:6" ht="24" x14ac:dyDescent="0.2">
      <c r="A24" s="1507" t="s">
        <v>541</v>
      </c>
      <c r="B24" s="304" t="s">
        <v>52</v>
      </c>
      <c r="C24" s="593"/>
      <c r="D24" s="593"/>
      <c r="E24" s="593"/>
      <c r="F24" s="1297"/>
    </row>
    <row r="25" spans="1:6" ht="24" x14ac:dyDescent="0.2">
      <c r="A25" s="1508"/>
      <c r="B25" s="174" t="s">
        <v>57</v>
      </c>
      <c r="C25" s="595"/>
      <c r="D25" s="595"/>
      <c r="E25" s="595"/>
      <c r="F25" s="596"/>
    </row>
    <row r="26" spans="1:6" x14ac:dyDescent="0.2">
      <c r="A26" s="1508"/>
      <c r="B26" s="174" t="s">
        <v>70</v>
      </c>
      <c r="C26" s="595"/>
      <c r="D26" s="595"/>
      <c r="E26" s="595"/>
      <c r="F26" s="596"/>
    </row>
    <row r="27" spans="1:6" x14ac:dyDescent="0.2">
      <c r="A27" s="1508"/>
      <c r="B27" s="174" t="s">
        <v>50</v>
      </c>
      <c r="C27" s="595"/>
      <c r="D27" s="595"/>
      <c r="E27" s="595"/>
      <c r="F27" s="596"/>
    </row>
    <row r="28" spans="1:6" x14ac:dyDescent="0.2">
      <c r="A28" s="1508"/>
      <c r="B28" s="174" t="s">
        <v>71</v>
      </c>
      <c r="C28" s="595"/>
      <c r="D28" s="595"/>
      <c r="E28" s="595"/>
      <c r="F28" s="596"/>
    </row>
    <row r="29" spans="1:6" x14ac:dyDescent="0.2">
      <c r="A29" s="1508"/>
      <c r="B29" s="174" t="s">
        <v>68</v>
      </c>
      <c r="C29" s="595"/>
      <c r="D29" s="595"/>
      <c r="E29" s="595"/>
      <c r="F29" s="596"/>
    </row>
    <row r="30" spans="1:6" ht="24" x14ac:dyDescent="0.2">
      <c r="A30" s="1508"/>
      <c r="B30" s="174" t="s">
        <v>59</v>
      </c>
      <c r="C30" s="597"/>
      <c r="D30" s="595"/>
      <c r="E30" s="595"/>
      <c r="F30" s="596"/>
    </row>
    <row r="31" spans="1:6" x14ac:dyDescent="0.2">
      <c r="A31" s="1508"/>
      <c r="B31" s="174" t="s">
        <v>66</v>
      </c>
      <c r="C31" s="595">
        <v>200000</v>
      </c>
      <c r="D31" s="595">
        <v>200000</v>
      </c>
      <c r="E31" s="595">
        <v>190248</v>
      </c>
      <c r="F31" s="1404">
        <f>E31/D31*100</f>
        <v>95.123999999999995</v>
      </c>
    </row>
    <row r="32" spans="1:6" ht="13.5" thickBot="1" x14ac:dyDescent="0.25">
      <c r="A32" s="1509"/>
      <c r="B32" s="248" t="s">
        <v>11</v>
      </c>
      <c r="C32" s="601">
        <f>SUM(C24:C31)</f>
        <v>200000</v>
      </c>
      <c r="D32" s="601">
        <f>SUM(D24:D31)</f>
        <v>200000</v>
      </c>
      <c r="E32" s="601">
        <f>SUM(E24:E31)</f>
        <v>190248</v>
      </c>
      <c r="F32" s="602">
        <f>E32/D32*100</f>
        <v>95.123999999999995</v>
      </c>
    </row>
    <row r="33" spans="1:6" ht="24.75" thickBot="1" x14ac:dyDescent="0.25">
      <c r="A33" s="1291"/>
      <c r="B33" s="304" t="s">
        <v>52</v>
      </c>
      <c r="C33" s="603">
        <f>C6+C15+C24</f>
        <v>0</v>
      </c>
      <c r="D33" s="603">
        <f t="shared" ref="D33:E33" si="1">D6+D15+D24</f>
        <v>99456</v>
      </c>
      <c r="E33" s="603">
        <f t="shared" si="1"/>
        <v>49456</v>
      </c>
      <c r="F33" s="594">
        <f t="shared" ref="F33" si="2">E33/D33*100</f>
        <v>49.726512226512227</v>
      </c>
    </row>
    <row r="34" spans="1:6" ht="24.75" thickBot="1" x14ac:dyDescent="0.25">
      <c r="A34" s="1501" t="s">
        <v>11</v>
      </c>
      <c r="B34" s="174" t="s">
        <v>57</v>
      </c>
      <c r="C34" s="603">
        <f t="shared" ref="C34:E39" si="3">C7+C16+C25</f>
        <v>0</v>
      </c>
      <c r="D34" s="603">
        <f t="shared" si="3"/>
        <v>0</v>
      </c>
      <c r="E34" s="603">
        <f t="shared" si="3"/>
        <v>0</v>
      </c>
      <c r="F34" s="596"/>
    </row>
    <row r="35" spans="1:6" ht="13.5" thickBot="1" x14ac:dyDescent="0.25">
      <c r="A35" s="1502"/>
      <c r="B35" s="174" t="s">
        <v>70</v>
      </c>
      <c r="C35" s="603">
        <f t="shared" si="3"/>
        <v>0</v>
      </c>
      <c r="D35" s="603">
        <f t="shared" si="3"/>
        <v>0</v>
      </c>
      <c r="E35" s="603">
        <f t="shared" si="3"/>
        <v>0</v>
      </c>
      <c r="F35" s="596"/>
    </row>
    <row r="36" spans="1:6" ht="13.5" thickBot="1" x14ac:dyDescent="0.25">
      <c r="A36" s="1502"/>
      <c r="B36" s="174" t="s">
        <v>50</v>
      </c>
      <c r="C36" s="603">
        <f t="shared" si="3"/>
        <v>384000</v>
      </c>
      <c r="D36" s="603">
        <f t="shared" si="3"/>
        <v>1943000</v>
      </c>
      <c r="E36" s="603">
        <f t="shared" si="3"/>
        <v>762721</v>
      </c>
      <c r="F36" s="596">
        <f>E36/D36*100</f>
        <v>39.254812146165726</v>
      </c>
    </row>
    <row r="37" spans="1:6" ht="13.5" thickBot="1" x14ac:dyDescent="0.25">
      <c r="A37" s="1502"/>
      <c r="B37" s="174" t="s">
        <v>71</v>
      </c>
      <c r="C37" s="603">
        <f t="shared" si="3"/>
        <v>0</v>
      </c>
      <c r="D37" s="603">
        <f t="shared" si="3"/>
        <v>0</v>
      </c>
      <c r="E37" s="603">
        <f t="shared" si="3"/>
        <v>0</v>
      </c>
      <c r="F37" s="596"/>
    </row>
    <row r="38" spans="1:6" ht="13.5" thickBot="1" x14ac:dyDescent="0.25">
      <c r="A38" s="1502"/>
      <c r="B38" s="174" t="s">
        <v>68</v>
      </c>
      <c r="C38" s="603">
        <f t="shared" si="3"/>
        <v>0</v>
      </c>
      <c r="D38" s="603">
        <f t="shared" si="3"/>
        <v>0</v>
      </c>
      <c r="E38" s="603">
        <f t="shared" si="3"/>
        <v>0</v>
      </c>
      <c r="F38" s="596"/>
    </row>
    <row r="39" spans="1:6" ht="24.75" thickBot="1" x14ac:dyDescent="0.25">
      <c r="A39" s="1502"/>
      <c r="B39" s="174" t="s">
        <v>59</v>
      </c>
      <c r="C39" s="603">
        <f>C12+C21+C30</f>
        <v>0</v>
      </c>
      <c r="D39" s="603">
        <f t="shared" si="3"/>
        <v>0</v>
      </c>
      <c r="E39" s="603">
        <f t="shared" si="3"/>
        <v>0</v>
      </c>
      <c r="F39" s="596"/>
    </row>
    <row r="40" spans="1:6" ht="13.5" thickBot="1" x14ac:dyDescent="0.25">
      <c r="A40" s="1502"/>
      <c r="B40" s="174" t="s">
        <v>66</v>
      </c>
      <c r="C40" s="603">
        <f>C13+C22+C31</f>
        <v>13039820</v>
      </c>
      <c r="D40" s="603">
        <f t="shared" ref="D40:E40" si="4">D13+D22+D31</f>
        <v>13369304</v>
      </c>
      <c r="E40" s="603">
        <f t="shared" si="4"/>
        <v>12537836</v>
      </c>
      <c r="F40" s="596">
        <f>E40/D40*100</f>
        <v>93.78076824343286</v>
      </c>
    </row>
    <row r="41" spans="1:6" ht="13.5" thickBot="1" x14ac:dyDescent="0.25">
      <c r="A41" s="1502"/>
      <c r="B41" s="175" t="s">
        <v>11</v>
      </c>
      <c r="C41" s="603">
        <f>SUM(C33:C40)</f>
        <v>13423820</v>
      </c>
      <c r="D41" s="603">
        <f t="shared" ref="D41:E41" si="5">SUM(D33:D40)</f>
        <v>15411760</v>
      </c>
      <c r="E41" s="603">
        <f t="shared" si="5"/>
        <v>13350013</v>
      </c>
      <c r="F41" s="599">
        <f>E41/D41*100</f>
        <v>86.622248205266629</v>
      </c>
    </row>
  </sheetData>
  <mergeCells count="6">
    <mergeCell ref="A34:A41"/>
    <mergeCell ref="E4:F4"/>
    <mergeCell ref="A1:F2"/>
    <mergeCell ref="A6:A14"/>
    <mergeCell ref="A15:A23"/>
    <mergeCell ref="A24:A32"/>
  </mergeCells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>
    <oddHeader>&amp;R1.3)a.sz. melléklete
......../2019.(V.30.) Egyek Önk.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2:Y37"/>
  <sheetViews>
    <sheetView topLeftCell="G7" zoomScale="110" zoomScaleNormal="110" workbookViewId="0">
      <selection activeCell="T17" sqref="T17"/>
    </sheetView>
  </sheetViews>
  <sheetFormatPr defaultRowHeight="12.75" x14ac:dyDescent="0.2"/>
  <cols>
    <col min="1" max="1" width="37" customWidth="1"/>
    <col min="2" max="3" width="17.7109375" bestFit="1" customWidth="1"/>
    <col min="4" max="4" width="16" bestFit="1" customWidth="1"/>
    <col min="5" max="5" width="8.7109375" customWidth="1"/>
    <col min="6" max="6" width="13.28515625" customWidth="1"/>
    <col min="7" max="8" width="14.7109375" customWidth="1"/>
    <col min="9" max="9" width="14.140625" customWidth="1"/>
    <col min="10" max="11" width="14.7109375" customWidth="1"/>
    <col min="12" max="12" width="13.28515625" customWidth="1"/>
    <col min="13" max="13" width="14.7109375" bestFit="1" customWidth="1"/>
    <col min="14" max="14" width="17.7109375" bestFit="1" customWidth="1"/>
    <col min="15" max="15" width="18.28515625" customWidth="1"/>
    <col min="16" max="16" width="20" customWidth="1"/>
    <col min="17" max="17" width="10.42578125" bestFit="1" customWidth="1"/>
  </cols>
  <sheetData>
    <row r="2" spans="1:25" ht="26.25" customHeight="1" x14ac:dyDescent="0.25">
      <c r="A2" s="1510" t="s">
        <v>554</v>
      </c>
      <c r="B2" s="1510"/>
      <c r="C2" s="1510"/>
      <c r="D2" s="1510"/>
      <c r="E2" s="1510"/>
      <c r="F2" s="1510"/>
      <c r="G2" s="1510"/>
      <c r="H2" s="1510"/>
      <c r="I2" s="1510"/>
      <c r="J2" s="1510"/>
      <c r="K2" s="1510"/>
      <c r="L2" s="1510"/>
      <c r="M2" s="1510"/>
      <c r="N2" s="1510"/>
      <c r="O2" s="1510"/>
      <c r="P2" s="72"/>
      <c r="Q2" s="72"/>
      <c r="R2" s="7"/>
      <c r="S2" s="7"/>
      <c r="T2" s="7"/>
      <c r="U2" s="7"/>
      <c r="V2" s="7"/>
      <c r="W2" s="7"/>
      <c r="X2" s="7"/>
      <c r="Y2" s="7"/>
    </row>
    <row r="3" spans="1:25" ht="15.75" x14ac:dyDescent="0.25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"/>
      <c r="S3" s="7"/>
      <c r="T3" s="7"/>
      <c r="U3" s="7"/>
      <c r="V3" s="7"/>
      <c r="W3" s="7"/>
      <c r="X3" s="7"/>
      <c r="Y3" s="7"/>
    </row>
    <row r="4" spans="1:25" ht="15.7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516" t="s">
        <v>184</v>
      </c>
      <c r="P4" s="1516"/>
      <c r="Q4" s="1516"/>
      <c r="R4" s="7"/>
      <c r="S4" s="7"/>
      <c r="T4" s="7"/>
      <c r="U4" s="7"/>
      <c r="V4" s="7"/>
      <c r="W4" s="7"/>
      <c r="X4" s="7"/>
      <c r="Y4" s="7"/>
    </row>
    <row r="5" spans="1:25" ht="16.5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1"/>
      <c r="O5" s="11"/>
      <c r="P5" s="11"/>
      <c r="Q5" s="11"/>
      <c r="R5" s="7"/>
      <c r="S5" s="7"/>
      <c r="T5" s="7"/>
      <c r="U5" s="7"/>
      <c r="V5" s="7"/>
      <c r="W5" s="7"/>
      <c r="X5" s="7"/>
      <c r="Y5" s="7"/>
    </row>
    <row r="6" spans="1:25" ht="16.5" thickBot="1" x14ac:dyDescent="0.3">
      <c r="A6" s="10"/>
      <c r="B6" s="1517" t="s">
        <v>146</v>
      </c>
      <c r="C6" s="1518"/>
      <c r="D6" s="1518"/>
      <c r="E6" s="1519"/>
      <c r="F6" s="1517" t="s">
        <v>451</v>
      </c>
      <c r="G6" s="1518"/>
      <c r="H6" s="1518"/>
      <c r="I6" s="1518"/>
      <c r="J6" s="1517" t="s">
        <v>154</v>
      </c>
      <c r="K6" s="1518"/>
      <c r="L6" s="1518"/>
      <c r="M6" s="1519"/>
      <c r="N6" s="1520" t="s">
        <v>11</v>
      </c>
      <c r="O6" s="1521"/>
      <c r="P6" s="1521"/>
      <c r="Q6" s="1522"/>
      <c r="R6" s="7"/>
      <c r="S6" s="7"/>
      <c r="T6" s="7"/>
      <c r="U6" s="7"/>
      <c r="V6" s="7"/>
      <c r="W6" s="7"/>
      <c r="X6" s="7"/>
      <c r="Y6" s="7"/>
    </row>
    <row r="7" spans="1:25" ht="12.75" customHeight="1" x14ac:dyDescent="0.2">
      <c r="A7" s="1514" t="s">
        <v>87</v>
      </c>
      <c r="B7" s="1511" t="s">
        <v>155</v>
      </c>
      <c r="C7" s="1511" t="s">
        <v>148</v>
      </c>
      <c r="D7" s="1511" t="s">
        <v>149</v>
      </c>
      <c r="E7" s="1511" t="s">
        <v>150</v>
      </c>
      <c r="F7" s="1511" t="s">
        <v>155</v>
      </c>
      <c r="G7" s="1511" t="s">
        <v>148</v>
      </c>
      <c r="H7" s="1511" t="s">
        <v>149</v>
      </c>
      <c r="I7" s="1511" t="s">
        <v>150</v>
      </c>
      <c r="J7" s="1511" t="s">
        <v>155</v>
      </c>
      <c r="K7" s="1511" t="s">
        <v>148</v>
      </c>
      <c r="L7" s="1511" t="s">
        <v>149</v>
      </c>
      <c r="M7" s="1511" t="s">
        <v>150</v>
      </c>
      <c r="N7" s="1511" t="s">
        <v>155</v>
      </c>
      <c r="O7" s="1511" t="s">
        <v>148</v>
      </c>
      <c r="P7" s="1511" t="s">
        <v>149</v>
      </c>
      <c r="Q7" s="1511" t="s">
        <v>150</v>
      </c>
    </row>
    <row r="8" spans="1:25" ht="43.5" customHeight="1" thickBot="1" x14ac:dyDescent="0.25">
      <c r="A8" s="1515"/>
      <c r="B8" s="1512"/>
      <c r="C8" s="1512"/>
      <c r="D8" s="1512"/>
      <c r="E8" s="1512"/>
      <c r="F8" s="1512"/>
      <c r="G8" s="1512"/>
      <c r="H8" s="1512"/>
      <c r="I8" s="1512"/>
      <c r="J8" s="1513"/>
      <c r="K8" s="1513"/>
      <c r="L8" s="1513"/>
      <c r="M8" s="1512"/>
      <c r="N8" s="1512"/>
      <c r="O8" s="1512"/>
      <c r="P8" s="1512"/>
      <c r="Q8" s="1512"/>
    </row>
    <row r="9" spans="1:25" ht="13.5" thickBot="1" x14ac:dyDescent="0.25">
      <c r="A9" s="189" t="s">
        <v>88</v>
      </c>
      <c r="B9" s="190">
        <v>120227307</v>
      </c>
      <c r="C9" s="191">
        <v>477119516</v>
      </c>
      <c r="D9" s="192">
        <v>416078356</v>
      </c>
      <c r="E9" s="47">
        <f t="shared" ref="E9:E16" si="0">D9/C9*100</f>
        <v>87.206316666367513</v>
      </c>
      <c r="F9" s="51">
        <v>76594301</v>
      </c>
      <c r="G9" s="52">
        <v>81468365</v>
      </c>
      <c r="H9" s="52">
        <v>80001423</v>
      </c>
      <c r="I9" s="181">
        <f t="shared" ref="I9:I16" si="1">H9/G9*100</f>
        <v>98.199372234854593</v>
      </c>
      <c r="J9" s="200">
        <v>6754100</v>
      </c>
      <c r="K9" s="201">
        <v>6978409</v>
      </c>
      <c r="L9" s="202">
        <v>6511854</v>
      </c>
      <c r="M9" s="199">
        <f>L9/K9*100</f>
        <v>93.314307029009044</v>
      </c>
      <c r="N9" s="47">
        <f>B9+F9+J9</f>
        <v>203575708</v>
      </c>
      <c r="O9" s="47">
        <f>K9+G9+C9</f>
        <v>565566290</v>
      </c>
      <c r="P9" s="47">
        <f>L9+H9+D9</f>
        <v>502591633</v>
      </c>
      <c r="Q9" s="47">
        <f>P9/O9*100</f>
        <v>88.865203228431454</v>
      </c>
    </row>
    <row r="10" spans="1:25" ht="33" customHeight="1" thickBot="1" x14ac:dyDescent="0.25">
      <c r="A10" s="46" t="s">
        <v>89</v>
      </c>
      <c r="B10" s="193">
        <v>16254995</v>
      </c>
      <c r="C10" s="75">
        <v>60288102</v>
      </c>
      <c r="D10" s="194">
        <v>52198000</v>
      </c>
      <c r="E10" s="47">
        <f t="shared" si="0"/>
        <v>86.580931010234821</v>
      </c>
      <c r="F10" s="51">
        <v>15558133</v>
      </c>
      <c r="G10" s="52">
        <v>16451042</v>
      </c>
      <c r="H10" s="52">
        <v>16172307</v>
      </c>
      <c r="I10" s="181">
        <f t="shared" si="1"/>
        <v>98.305669634786668</v>
      </c>
      <c r="J10" s="203">
        <v>1457720</v>
      </c>
      <c r="K10" s="53">
        <v>1562895</v>
      </c>
      <c r="L10" s="204">
        <v>1401779</v>
      </c>
      <c r="M10" s="199">
        <f>L10/K10*100</f>
        <v>89.69118206917291</v>
      </c>
      <c r="N10" s="47">
        <f t="shared" ref="N10:N15" si="2">B10+F10+J10</f>
        <v>33270848</v>
      </c>
      <c r="O10" s="47">
        <f t="shared" ref="O10:P15" si="3">K10+G10+C10</f>
        <v>78302039</v>
      </c>
      <c r="P10" s="47">
        <f t="shared" si="3"/>
        <v>69772086</v>
      </c>
      <c r="Q10" s="47">
        <f t="shared" ref="Q10:Q22" si="4">P10/O10*100</f>
        <v>89.106346260025234</v>
      </c>
    </row>
    <row r="11" spans="1:25" ht="13.5" thickBot="1" x14ac:dyDescent="0.25">
      <c r="A11" s="19" t="s">
        <v>90</v>
      </c>
      <c r="B11" s="193">
        <v>130865766</v>
      </c>
      <c r="C11" s="75">
        <v>174156968</v>
      </c>
      <c r="D11" s="194">
        <v>164020227</v>
      </c>
      <c r="E11" s="47">
        <f t="shared" si="0"/>
        <v>94.179537507795843</v>
      </c>
      <c r="F11" s="51">
        <v>17806000</v>
      </c>
      <c r="G11" s="52">
        <v>19137267</v>
      </c>
      <c r="H11" s="52">
        <v>13973094</v>
      </c>
      <c r="I11" s="181">
        <f t="shared" si="1"/>
        <v>73.015096669759586</v>
      </c>
      <c r="J11" s="203">
        <v>4511000</v>
      </c>
      <c r="K11" s="53">
        <v>6195456</v>
      </c>
      <c r="L11" s="204">
        <v>4855121</v>
      </c>
      <c r="M11" s="199">
        <f>L11/K11*100</f>
        <v>78.365837801123917</v>
      </c>
      <c r="N11" s="47">
        <f t="shared" si="2"/>
        <v>153182766</v>
      </c>
      <c r="O11" s="47">
        <f t="shared" si="3"/>
        <v>199489691</v>
      </c>
      <c r="P11" s="47">
        <f t="shared" si="3"/>
        <v>182848442</v>
      </c>
      <c r="Q11" s="47">
        <f t="shared" si="4"/>
        <v>91.658090743145209</v>
      </c>
    </row>
    <row r="12" spans="1:25" ht="13.5" thickBot="1" x14ac:dyDescent="0.25">
      <c r="A12" s="20" t="s">
        <v>91</v>
      </c>
      <c r="B12" s="193">
        <v>11298000</v>
      </c>
      <c r="C12" s="74">
        <v>17769099</v>
      </c>
      <c r="D12" s="195">
        <v>17717099</v>
      </c>
      <c r="E12" s="47">
        <f t="shared" si="0"/>
        <v>99.707357137241459</v>
      </c>
      <c r="F12" s="51"/>
      <c r="G12" s="54"/>
      <c r="H12" s="54"/>
      <c r="I12" s="181"/>
      <c r="J12" s="203"/>
      <c r="K12" s="53"/>
      <c r="L12" s="204"/>
      <c r="M12" s="199"/>
      <c r="N12" s="47">
        <f t="shared" si="2"/>
        <v>11298000</v>
      </c>
      <c r="O12" s="47">
        <f t="shared" si="3"/>
        <v>17769099</v>
      </c>
      <c r="P12" s="47">
        <f t="shared" si="3"/>
        <v>17717099</v>
      </c>
      <c r="Q12" s="47">
        <f t="shared" si="4"/>
        <v>99.707357137241459</v>
      </c>
    </row>
    <row r="13" spans="1:25" ht="35.25" customHeight="1" thickBot="1" x14ac:dyDescent="0.25">
      <c r="A13" s="66" t="s">
        <v>97</v>
      </c>
      <c r="B13" s="193">
        <f>90779619-11996667</f>
        <v>78782952</v>
      </c>
      <c r="C13" s="74">
        <f>99222770-C24</f>
        <v>96460654</v>
      </c>
      <c r="D13" s="195">
        <v>95165455</v>
      </c>
      <c r="E13" s="47">
        <f t="shared" si="0"/>
        <v>98.657277401415925</v>
      </c>
      <c r="F13" s="51">
        <v>8577499</v>
      </c>
      <c r="G13" s="54">
        <v>8577499</v>
      </c>
      <c r="H13" s="54">
        <v>7398000</v>
      </c>
      <c r="I13" s="181">
        <f t="shared" si="1"/>
        <v>86.248917079442393</v>
      </c>
      <c r="J13" s="203">
        <v>675000</v>
      </c>
      <c r="K13" s="53">
        <v>675000</v>
      </c>
      <c r="L13" s="204">
        <v>570000</v>
      </c>
      <c r="M13" s="199">
        <f>L13/K13*100</f>
        <v>84.444444444444443</v>
      </c>
      <c r="N13" s="47">
        <f t="shared" si="2"/>
        <v>88035451</v>
      </c>
      <c r="O13" s="47">
        <f t="shared" si="3"/>
        <v>105713153</v>
      </c>
      <c r="P13" s="47">
        <f t="shared" si="3"/>
        <v>103133455</v>
      </c>
      <c r="Q13" s="47">
        <f t="shared" si="4"/>
        <v>97.559718987853856</v>
      </c>
    </row>
    <row r="14" spans="1:25" ht="13.5" thickBot="1" x14ac:dyDescent="0.25">
      <c r="A14" s="546" t="s">
        <v>98</v>
      </c>
      <c r="B14" s="193">
        <f>132912153+11049981</f>
        <v>143962134</v>
      </c>
      <c r="C14" s="75">
        <f>C15+136536843</f>
        <v>156144225</v>
      </c>
      <c r="D14" s="194">
        <f>D15+127912569</f>
        <v>147519861</v>
      </c>
      <c r="E14" s="47">
        <f t="shared" si="0"/>
        <v>94.476667965145694</v>
      </c>
      <c r="F14" s="51"/>
      <c r="G14" s="52"/>
      <c r="H14" s="52"/>
      <c r="I14" s="181"/>
      <c r="J14" s="203"/>
      <c r="K14" s="53"/>
      <c r="L14" s="204"/>
      <c r="M14" s="199"/>
      <c r="N14" s="47">
        <f t="shared" si="2"/>
        <v>143962134</v>
      </c>
      <c r="O14" s="47">
        <f t="shared" si="3"/>
        <v>156144225</v>
      </c>
      <c r="P14" s="47">
        <f t="shared" si="3"/>
        <v>147519861</v>
      </c>
      <c r="Q14" s="47">
        <f t="shared" si="4"/>
        <v>94.476667965145694</v>
      </c>
    </row>
    <row r="15" spans="1:25" ht="31.5" customHeight="1" thickBot="1" x14ac:dyDescent="0.25">
      <c r="A15" s="547" t="s">
        <v>100</v>
      </c>
      <c r="B15" s="196">
        <v>11049981</v>
      </c>
      <c r="C15" s="197">
        <v>19607382</v>
      </c>
      <c r="D15" s="198">
        <v>19607292</v>
      </c>
      <c r="E15" s="47">
        <f t="shared" si="0"/>
        <v>99.999540989204988</v>
      </c>
      <c r="F15" s="55"/>
      <c r="G15" s="54"/>
      <c r="H15" s="54"/>
      <c r="I15" s="181"/>
      <c r="J15" s="205"/>
      <c r="K15" s="206"/>
      <c r="L15" s="207"/>
      <c r="M15" s="199"/>
      <c r="N15" s="47">
        <f t="shared" si="2"/>
        <v>11049981</v>
      </c>
      <c r="O15" s="47">
        <f t="shared" si="3"/>
        <v>19607382</v>
      </c>
      <c r="P15" s="47">
        <f t="shared" si="3"/>
        <v>19607292</v>
      </c>
      <c r="Q15" s="47">
        <f t="shared" si="4"/>
        <v>99.999540989204988</v>
      </c>
    </row>
    <row r="16" spans="1:25" ht="21" customHeight="1" thickBot="1" x14ac:dyDescent="0.25">
      <c r="A16" s="5" t="s">
        <v>18</v>
      </c>
      <c r="B16" s="47">
        <f>B9+B10+B11+B12+B13+B14</f>
        <v>501391154</v>
      </c>
      <c r="C16" s="47">
        <f t="shared" ref="C16:D16" si="5">C9+C10+C11+C12+C13+C14</f>
        <v>981938564</v>
      </c>
      <c r="D16" s="47">
        <f t="shared" si="5"/>
        <v>892698998</v>
      </c>
      <c r="E16" s="47">
        <f t="shared" si="0"/>
        <v>90.911899249941257</v>
      </c>
      <c r="F16" s="47">
        <f>SUM(F9:F14)</f>
        <v>118535933</v>
      </c>
      <c r="G16" s="47">
        <f>SUM(G9:G14)</f>
        <v>125634173</v>
      </c>
      <c r="H16" s="47">
        <f>SUM(H9:H14)</f>
        <v>117544824</v>
      </c>
      <c r="I16" s="47">
        <f t="shared" si="1"/>
        <v>93.561187368981209</v>
      </c>
      <c r="J16" s="178">
        <f>SUM(J9:J14)</f>
        <v>13397820</v>
      </c>
      <c r="K16" s="178">
        <f>SUM(K9:K14)</f>
        <v>15411760</v>
      </c>
      <c r="L16" s="178">
        <f>SUM(L9:L14)</f>
        <v>13338754</v>
      </c>
      <c r="M16" s="47">
        <f>L16/K16*100</f>
        <v>86.549193602807208</v>
      </c>
      <c r="N16" s="47">
        <f>SUM(N9:N14)</f>
        <v>633324907</v>
      </c>
      <c r="O16" s="47">
        <f>SUM(O9:O14)</f>
        <v>1122984497</v>
      </c>
      <c r="P16" s="47">
        <f>SUM(P9:P14)</f>
        <v>1023582576</v>
      </c>
      <c r="Q16" s="47">
        <f t="shared" si="4"/>
        <v>91.148415560005731</v>
      </c>
    </row>
    <row r="17" spans="1:18" ht="21" customHeight="1" thickBot="1" x14ac:dyDescent="0.25">
      <c r="A17" s="8"/>
      <c r="B17" s="57"/>
      <c r="C17" s="57"/>
      <c r="D17" s="57"/>
      <c r="E17" s="57"/>
      <c r="F17" s="56"/>
      <c r="G17" s="57"/>
      <c r="H17" s="57"/>
      <c r="I17" s="57"/>
      <c r="J17" s="56"/>
      <c r="K17" s="56"/>
      <c r="L17" s="56"/>
      <c r="M17" s="56"/>
      <c r="N17" s="58"/>
      <c r="O17" s="58"/>
      <c r="P17" s="58"/>
      <c r="Q17" s="58"/>
    </row>
    <row r="18" spans="1:18" s="88" customFormat="1" ht="13.5" thickBot="1" x14ac:dyDescent="0.25">
      <c r="A18" s="87" t="s">
        <v>92</v>
      </c>
      <c r="B18" s="81">
        <v>2377090290</v>
      </c>
      <c r="C18" s="81">
        <v>2366210727</v>
      </c>
      <c r="D18" s="81">
        <v>74662876</v>
      </c>
      <c r="E18" s="47">
        <f>D18/C18*100</f>
        <v>3.1553772936640057</v>
      </c>
      <c r="F18" s="81">
        <v>3649400</v>
      </c>
      <c r="G18" s="81">
        <v>3686332</v>
      </c>
      <c r="H18" s="81">
        <v>3386005</v>
      </c>
      <c r="I18" s="47">
        <f>H18/G18*100</f>
        <v>91.852958442158766</v>
      </c>
      <c r="J18" s="81">
        <v>26000</v>
      </c>
      <c r="K18" s="81"/>
      <c r="L18" s="180"/>
      <c r="M18" s="47"/>
      <c r="N18" s="183">
        <f>B18+F18+J18</f>
        <v>2380765690</v>
      </c>
      <c r="O18" s="183">
        <f t="shared" ref="O18:P22" si="6">K18+G18+C18</f>
        <v>2369897059</v>
      </c>
      <c r="P18" s="183">
        <f t="shared" si="6"/>
        <v>78048881</v>
      </c>
      <c r="Q18" s="184">
        <f t="shared" si="4"/>
        <v>3.2933447764576509</v>
      </c>
    </row>
    <row r="19" spans="1:18" s="88" customFormat="1" ht="13.5" thickBot="1" x14ac:dyDescent="0.25">
      <c r="A19" s="87" t="s">
        <v>93</v>
      </c>
      <c r="B19" s="81">
        <v>35192323</v>
      </c>
      <c r="C19" s="81">
        <v>67431403</v>
      </c>
      <c r="D19" s="81">
        <v>58748918</v>
      </c>
      <c r="E19" s="47">
        <f>D19/C19*100</f>
        <v>87.123973973965803</v>
      </c>
      <c r="F19" s="81"/>
      <c r="G19" s="81"/>
      <c r="H19" s="81"/>
      <c r="I19" s="47"/>
      <c r="J19" s="81"/>
      <c r="K19" s="81"/>
      <c r="L19" s="180"/>
      <c r="M19" s="47"/>
      <c r="N19" s="182">
        <f>B19+F19+J19</f>
        <v>35192323</v>
      </c>
      <c r="O19" s="182">
        <f t="shared" si="6"/>
        <v>67431403</v>
      </c>
      <c r="P19" s="182">
        <f t="shared" si="6"/>
        <v>58748918</v>
      </c>
      <c r="Q19" s="185">
        <f t="shared" si="4"/>
        <v>87.123973973965803</v>
      </c>
    </row>
    <row r="20" spans="1:18" s="88" customFormat="1" ht="13.5" thickBot="1" x14ac:dyDescent="0.25">
      <c r="A20" s="87" t="s">
        <v>94</v>
      </c>
      <c r="B20" s="81"/>
      <c r="C20" s="81">
        <v>1500000</v>
      </c>
      <c r="D20" s="81">
        <v>1500000</v>
      </c>
      <c r="E20" s="47">
        <f>D20/C20*100</f>
        <v>100</v>
      </c>
      <c r="F20" s="81">
        <v>0</v>
      </c>
      <c r="G20" s="81"/>
      <c r="H20" s="81"/>
      <c r="I20" s="47"/>
      <c r="J20" s="81"/>
      <c r="K20" s="81"/>
      <c r="L20" s="180"/>
      <c r="M20" s="47"/>
      <c r="N20" s="182">
        <f>B20+F20+J20</f>
        <v>0</v>
      </c>
      <c r="O20" s="182">
        <f t="shared" si="6"/>
        <v>1500000</v>
      </c>
      <c r="P20" s="182">
        <f t="shared" si="6"/>
        <v>1500000</v>
      </c>
      <c r="Q20" s="185">
        <f t="shared" si="4"/>
        <v>100</v>
      </c>
    </row>
    <row r="21" spans="1:18" s="88" customFormat="1" ht="26.25" thickBot="1" x14ac:dyDescent="0.25">
      <c r="A21" s="545" t="s">
        <v>99</v>
      </c>
      <c r="B21" s="81">
        <v>7554365</v>
      </c>
      <c r="C21" s="81">
        <v>7554365</v>
      </c>
      <c r="D21" s="81">
        <v>7554365</v>
      </c>
      <c r="E21" s="47">
        <f>D21/C21*100</f>
        <v>100</v>
      </c>
      <c r="F21" s="81"/>
      <c r="G21" s="81"/>
      <c r="H21" s="81"/>
      <c r="I21" s="47"/>
      <c r="J21" s="81"/>
      <c r="K21" s="81"/>
      <c r="L21" s="180"/>
      <c r="M21" s="47"/>
      <c r="N21" s="182">
        <f>B21+F21+J21</f>
        <v>7554365</v>
      </c>
      <c r="O21" s="182">
        <f t="shared" si="6"/>
        <v>7554365</v>
      </c>
      <c r="P21" s="182">
        <f t="shared" si="6"/>
        <v>7554365</v>
      </c>
      <c r="Q21" s="185">
        <f t="shared" si="4"/>
        <v>100</v>
      </c>
    </row>
    <row r="22" spans="1:18" ht="13.5" thickBot="1" x14ac:dyDescent="0.25">
      <c r="A22" s="5" t="s">
        <v>95</v>
      </c>
      <c r="B22" s="47">
        <f t="shared" ref="B22:L22" si="7">SUM(B18:B21)</f>
        <v>2419836978</v>
      </c>
      <c r="C22" s="47">
        <f>SUM(C18:C21)</f>
        <v>2442696495</v>
      </c>
      <c r="D22" s="47">
        <f>SUM(D18:D21)</f>
        <v>142466159</v>
      </c>
      <c r="E22" s="47">
        <f>D22/C22*100</f>
        <v>5.8323315766660562</v>
      </c>
      <c r="F22" s="47">
        <f t="shared" si="7"/>
        <v>3649400</v>
      </c>
      <c r="G22" s="47">
        <f t="shared" si="7"/>
        <v>3686332</v>
      </c>
      <c r="H22" s="47">
        <f t="shared" si="7"/>
        <v>3386005</v>
      </c>
      <c r="I22" s="47">
        <f>H22/G22*100</f>
        <v>91.852958442158766</v>
      </c>
      <c r="J22" s="47">
        <f t="shared" si="7"/>
        <v>26000</v>
      </c>
      <c r="K22" s="47">
        <f t="shared" si="7"/>
        <v>0</v>
      </c>
      <c r="L22" s="181">
        <f t="shared" si="7"/>
        <v>0</v>
      </c>
      <c r="M22" s="47"/>
      <c r="N22" s="186">
        <f>B22+F22+J22</f>
        <v>2423512378</v>
      </c>
      <c r="O22" s="187">
        <f t="shared" si="6"/>
        <v>2446382827</v>
      </c>
      <c r="P22" s="187">
        <f t="shared" si="6"/>
        <v>145852164</v>
      </c>
      <c r="Q22" s="188">
        <f t="shared" si="4"/>
        <v>5.9619517595640801</v>
      </c>
    </row>
    <row r="23" spans="1:18" ht="21" customHeight="1" thickBot="1" x14ac:dyDescent="0.25">
      <c r="A23" s="8"/>
      <c r="B23" s="56"/>
      <c r="C23" s="57"/>
      <c r="D23" s="57"/>
      <c r="E23" s="57"/>
      <c r="F23" s="56"/>
      <c r="G23" s="57"/>
      <c r="H23" s="57"/>
      <c r="I23" s="57"/>
      <c r="J23" s="56"/>
      <c r="K23" s="56"/>
      <c r="L23" s="56"/>
      <c r="M23" s="56"/>
      <c r="N23" s="58"/>
      <c r="O23" s="179"/>
      <c r="P23" s="179"/>
      <c r="Q23" s="179"/>
      <c r="R23" s="1"/>
    </row>
    <row r="24" spans="1:18" ht="13.5" thickBot="1" x14ac:dyDescent="0.25">
      <c r="A24" s="5" t="s">
        <v>96</v>
      </c>
      <c r="B24" s="59">
        <v>11996667</v>
      </c>
      <c r="C24" s="59">
        <v>2762116</v>
      </c>
      <c r="D24" s="59"/>
      <c r="E24" s="47"/>
      <c r="F24" s="33"/>
      <c r="G24" s="59"/>
      <c r="H24" s="59"/>
      <c r="I24" s="59"/>
      <c r="J24" s="33"/>
      <c r="K24" s="33"/>
      <c r="L24" s="33"/>
      <c r="M24" s="47"/>
      <c r="N24" s="47">
        <f>B24+F24+J24</f>
        <v>11996667</v>
      </c>
      <c r="O24" s="89">
        <f>K24+G24+C24</f>
        <v>2762116</v>
      </c>
      <c r="P24" s="89">
        <f>L24+H24+D24</f>
        <v>0</v>
      </c>
      <c r="Q24" s="47"/>
    </row>
    <row r="25" spans="1:18" ht="21" customHeight="1" thickBot="1" x14ac:dyDescent="0.25">
      <c r="A25" s="8"/>
      <c r="B25" s="60"/>
      <c r="C25" s="60"/>
      <c r="D25" s="60"/>
      <c r="E25" s="60"/>
      <c r="F25" s="56"/>
      <c r="G25" s="57"/>
      <c r="H25" s="57"/>
      <c r="I25" s="57"/>
      <c r="J25" s="56"/>
      <c r="K25" s="56"/>
      <c r="L25" s="56"/>
      <c r="M25" s="56"/>
      <c r="N25" s="58"/>
      <c r="O25" s="179"/>
      <c r="P25" s="179"/>
      <c r="Q25" s="179"/>
    </row>
    <row r="26" spans="1:18" ht="13.5" thickBot="1" x14ac:dyDescent="0.25">
      <c r="A26" s="5" t="s">
        <v>19</v>
      </c>
      <c r="B26" s="47">
        <f>B16+B22+B24</f>
        <v>2933224799</v>
      </c>
      <c r="C26" s="47">
        <f>C16+C22+C24</f>
        <v>3427397175</v>
      </c>
      <c r="D26" s="47">
        <f>D16+D22+D24</f>
        <v>1035165157</v>
      </c>
      <c r="E26" s="47">
        <f>D26/C26*100</f>
        <v>30.202661207480279</v>
      </c>
      <c r="F26" s="47">
        <f t="shared" ref="F26:N26" si="8">F16+F22+F24</f>
        <v>122185333</v>
      </c>
      <c r="G26" s="47">
        <f t="shared" si="8"/>
        <v>129320505</v>
      </c>
      <c r="H26" s="47">
        <f t="shared" si="8"/>
        <v>120930829</v>
      </c>
      <c r="I26" s="47">
        <f>H26/G26*100</f>
        <v>93.51249362968386</v>
      </c>
      <c r="J26" s="47">
        <f t="shared" si="8"/>
        <v>13423820</v>
      </c>
      <c r="K26" s="47">
        <f t="shared" si="8"/>
        <v>15411760</v>
      </c>
      <c r="L26" s="47">
        <f t="shared" si="8"/>
        <v>13338754</v>
      </c>
      <c r="M26" s="47">
        <f>L26/K26*100</f>
        <v>86.549193602807208</v>
      </c>
      <c r="N26" s="47">
        <f t="shared" si="8"/>
        <v>3068833952</v>
      </c>
      <c r="O26" s="89">
        <f>K26+G26+C26</f>
        <v>3572129440</v>
      </c>
      <c r="P26" s="89">
        <f>L26+H26+D26</f>
        <v>1169434740</v>
      </c>
      <c r="Q26" s="47">
        <f>P26/O26*100</f>
        <v>32.737748159540374</v>
      </c>
    </row>
    <row r="27" spans="1:18" ht="21" customHeight="1" x14ac:dyDescent="0.2">
      <c r="A27" s="240"/>
      <c r="B27" s="241"/>
      <c r="C27" s="241"/>
      <c r="D27" s="241"/>
      <c r="E27" s="61"/>
      <c r="F27" s="61"/>
      <c r="G27" s="62"/>
      <c r="H27" s="62"/>
      <c r="I27" s="62"/>
      <c r="J27" s="61"/>
      <c r="K27" s="61"/>
      <c r="L27" s="61"/>
      <c r="M27" s="61"/>
      <c r="N27" s="56"/>
      <c r="O27" s="179"/>
      <c r="P27" s="179"/>
      <c r="Q27" s="179"/>
      <c r="R27" s="1"/>
    </row>
    <row r="28" spans="1:18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8" ht="16.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3"/>
      <c r="P29" s="6"/>
    </row>
    <row r="30" spans="1:18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</sheetData>
  <mergeCells count="23">
    <mergeCell ref="B7:B8"/>
    <mergeCell ref="M7:M8"/>
    <mergeCell ref="H7:H8"/>
    <mergeCell ref="O7:O8"/>
    <mergeCell ref="G7:G8"/>
    <mergeCell ref="I7:I8"/>
    <mergeCell ref="F7:F8"/>
    <mergeCell ref="A2:O2"/>
    <mergeCell ref="C7:C8"/>
    <mergeCell ref="J7:J8"/>
    <mergeCell ref="K7:K8"/>
    <mergeCell ref="N7:N8"/>
    <mergeCell ref="A7:A8"/>
    <mergeCell ref="O4:Q4"/>
    <mergeCell ref="D7:D8"/>
    <mergeCell ref="E7:E8"/>
    <mergeCell ref="B6:E6"/>
    <mergeCell ref="P7:P8"/>
    <mergeCell ref="Q7:Q8"/>
    <mergeCell ref="L7:L8"/>
    <mergeCell ref="F6:I6"/>
    <mergeCell ref="J6:M6"/>
    <mergeCell ref="N6:Q6"/>
  </mergeCells>
  <phoneticPr fontId="6" type="noConversion"/>
  <pageMargins left="0.19685039370078741" right="0.19685039370078741" top="0.39370078740157483" bottom="0.39370078740157483" header="0.51181102362204722" footer="0.51181102362204722"/>
  <pageSetup paperSize="9" scale="52" orientation="landscape" r:id="rId1"/>
  <headerFooter alignWithMargins="0">
    <oddHeader>&amp;R2.sz. melléklet
......./2019.(V.30.) Egyek Önk.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2"/>
  <sheetViews>
    <sheetView topLeftCell="A399" zoomScale="110" zoomScaleNormal="110" zoomScaleSheetLayoutView="90" workbookViewId="0">
      <selection activeCell="D423" sqref="D423"/>
    </sheetView>
  </sheetViews>
  <sheetFormatPr defaultRowHeight="12.75" x14ac:dyDescent="0.2"/>
  <cols>
    <col min="1" max="1" width="30.7109375" style="24" customWidth="1"/>
    <col min="2" max="2" width="49" style="24" customWidth="1"/>
    <col min="3" max="3" width="19.140625" style="848" customWidth="1"/>
    <col min="4" max="4" width="17.28515625" style="848" customWidth="1"/>
    <col min="5" max="5" width="21" style="848" customWidth="1"/>
    <col min="6" max="6" width="14.5703125" style="848" customWidth="1"/>
    <col min="7" max="7" width="18" customWidth="1"/>
    <col min="8" max="8" width="12.5703125" customWidth="1"/>
    <col min="9" max="9" width="17.85546875" customWidth="1"/>
    <col min="10" max="10" width="16.7109375" customWidth="1"/>
    <col min="11" max="11" width="17.28515625" customWidth="1"/>
    <col min="12" max="12" width="14.42578125" customWidth="1"/>
  </cols>
  <sheetData>
    <row r="1" spans="1:11" ht="15.75" x14ac:dyDescent="0.25">
      <c r="A1" s="1523" t="s">
        <v>579</v>
      </c>
      <c r="B1" s="1523"/>
      <c r="C1" s="1523"/>
      <c r="D1" s="1523"/>
      <c r="E1" s="1523"/>
      <c r="F1" s="1523"/>
      <c r="G1" s="847"/>
      <c r="H1" s="169"/>
      <c r="I1" s="169"/>
      <c r="J1" s="169"/>
      <c r="K1" s="169"/>
    </row>
    <row r="2" spans="1:11" x14ac:dyDescent="0.2">
      <c r="E2" s="1528" t="s">
        <v>184</v>
      </c>
      <c r="F2" s="1528"/>
      <c r="G2" s="591"/>
    </row>
    <row r="3" spans="1:11" ht="13.5" thickBot="1" x14ac:dyDescent="0.25">
      <c r="C3" s="24"/>
      <c r="G3" s="24"/>
      <c r="K3" s="83"/>
    </row>
    <row r="4" spans="1:11" ht="13.5" thickBot="1" x14ac:dyDescent="0.25">
      <c r="A4" s="849" t="s">
        <v>72</v>
      </c>
      <c r="B4" s="850" t="s">
        <v>24</v>
      </c>
      <c r="C4" s="851" t="s">
        <v>156</v>
      </c>
      <c r="D4" s="851" t="s">
        <v>148</v>
      </c>
      <c r="E4" s="851" t="s">
        <v>149</v>
      </c>
      <c r="F4" s="851" t="s">
        <v>150</v>
      </c>
      <c r="G4" s="24"/>
      <c r="K4" s="1"/>
    </row>
    <row r="5" spans="1:11" x14ac:dyDescent="0.2">
      <c r="A5" s="1524" t="s">
        <v>430</v>
      </c>
      <c r="B5" s="852" t="s">
        <v>88</v>
      </c>
      <c r="C5" s="853">
        <v>33903836</v>
      </c>
      <c r="D5" s="853">
        <v>36192094</v>
      </c>
      <c r="E5" s="853">
        <v>35624165</v>
      </c>
      <c r="F5" s="867">
        <f>E5/D5*100</f>
        <v>98.430792647698141</v>
      </c>
      <c r="G5" s="24"/>
      <c r="K5" s="1"/>
    </row>
    <row r="6" spans="1:11" ht="25.5" x14ac:dyDescent="0.2">
      <c r="A6" s="1525"/>
      <c r="B6" s="855" t="s">
        <v>101</v>
      </c>
      <c r="C6" s="727">
        <v>6836538</v>
      </c>
      <c r="D6" s="727">
        <v>6699192</v>
      </c>
      <c r="E6" s="727">
        <v>6599521</v>
      </c>
      <c r="F6" s="867">
        <f t="shared" ref="F6:F13" si="0">E6/D6*100</f>
        <v>98.512193709330916</v>
      </c>
      <c r="G6" s="24"/>
    </row>
    <row r="7" spans="1:11" x14ac:dyDescent="0.2">
      <c r="A7" s="1525"/>
      <c r="B7" s="855" t="s">
        <v>90</v>
      </c>
      <c r="C7" s="727">
        <v>5649600</v>
      </c>
      <c r="D7" s="727">
        <v>15693591</v>
      </c>
      <c r="E7" s="727">
        <v>12572214</v>
      </c>
      <c r="F7" s="867">
        <f t="shared" si="0"/>
        <v>80.110498610547452</v>
      </c>
      <c r="G7" s="24"/>
    </row>
    <row r="8" spans="1:11" x14ac:dyDescent="0.2">
      <c r="A8" s="1525"/>
      <c r="B8" s="855" t="s">
        <v>102</v>
      </c>
      <c r="C8" s="727"/>
      <c r="D8" s="727"/>
      <c r="E8" s="727"/>
      <c r="F8" s="867"/>
      <c r="G8" s="24"/>
    </row>
    <row r="9" spans="1:11" ht="25.5" x14ac:dyDescent="0.2">
      <c r="A9" s="1525"/>
      <c r="B9" s="855" t="s">
        <v>97</v>
      </c>
      <c r="C9" s="727">
        <v>1910610</v>
      </c>
      <c r="D9" s="727">
        <v>12953558</v>
      </c>
      <c r="E9" s="727">
        <v>12953558</v>
      </c>
      <c r="F9" s="867">
        <f t="shared" si="0"/>
        <v>100</v>
      </c>
      <c r="G9" s="24"/>
    </row>
    <row r="10" spans="1:11" x14ac:dyDescent="0.2">
      <c r="A10" s="1525"/>
      <c r="B10" s="855" t="s">
        <v>103</v>
      </c>
      <c r="C10" s="727">
        <v>4330000</v>
      </c>
      <c r="D10" s="727"/>
      <c r="E10" s="727"/>
      <c r="F10" s="867"/>
      <c r="G10" s="24"/>
    </row>
    <row r="11" spans="1:11" x14ac:dyDescent="0.2">
      <c r="A11" s="1525"/>
      <c r="B11" s="855" t="s">
        <v>92</v>
      </c>
      <c r="C11" s="727">
        <v>2474540</v>
      </c>
      <c r="D11" s="727">
        <v>2497945</v>
      </c>
      <c r="E11" s="727">
        <v>2472937</v>
      </c>
      <c r="F11" s="867">
        <f t="shared" si="0"/>
        <v>98.998857060503724</v>
      </c>
      <c r="G11" s="24"/>
    </row>
    <row r="12" spans="1:11" s="742" customFormat="1" x14ac:dyDescent="0.2">
      <c r="A12" s="1525"/>
      <c r="B12" s="855" t="s">
        <v>93</v>
      </c>
      <c r="C12" s="741"/>
      <c r="D12" s="741"/>
      <c r="E12" s="741"/>
      <c r="F12" s="867"/>
      <c r="G12" s="856"/>
    </row>
    <row r="13" spans="1:11" s="742" customFormat="1" x14ac:dyDescent="0.2">
      <c r="A13" s="1525"/>
      <c r="B13" s="855" t="s">
        <v>94</v>
      </c>
      <c r="C13" s="741"/>
      <c r="D13" s="741">
        <v>1500000</v>
      </c>
      <c r="E13" s="741">
        <v>1500000</v>
      </c>
      <c r="F13" s="867">
        <f t="shared" si="0"/>
        <v>100</v>
      </c>
      <c r="G13" s="856"/>
    </row>
    <row r="14" spans="1:11" s="742" customFormat="1" ht="13.5" thickBot="1" x14ac:dyDescent="0.25">
      <c r="A14" s="1525"/>
      <c r="B14" s="857" t="s">
        <v>104</v>
      </c>
      <c r="C14" s="743"/>
      <c r="D14" s="743"/>
      <c r="E14" s="743"/>
      <c r="F14" s="867"/>
      <c r="G14" s="856"/>
    </row>
    <row r="15" spans="1:11" s="742" customFormat="1" ht="13.5" thickBot="1" x14ac:dyDescent="0.25">
      <c r="A15" s="1525"/>
      <c r="B15" s="858" t="s">
        <v>14</v>
      </c>
      <c r="C15" s="749">
        <f>SUM(C5:C14)</f>
        <v>55105124</v>
      </c>
      <c r="D15" s="749">
        <f>SUM(D5:D14)</f>
        <v>75536380</v>
      </c>
      <c r="E15" s="749">
        <f>SUM(E5:E14)</f>
        <v>71722395</v>
      </c>
      <c r="F15" s="859">
        <f>E15/D15*100</f>
        <v>94.950797218505841</v>
      </c>
      <c r="G15" s="856"/>
    </row>
    <row r="16" spans="1:11" ht="13.15" customHeight="1" x14ac:dyDescent="0.2">
      <c r="A16" s="1526" t="s">
        <v>431</v>
      </c>
      <c r="B16" s="852" t="s">
        <v>88</v>
      </c>
      <c r="C16" s="853"/>
      <c r="D16" s="853"/>
      <c r="E16" s="853"/>
      <c r="F16" s="867">
        <v>100</v>
      </c>
      <c r="G16" s="24"/>
    </row>
    <row r="17" spans="1:7" ht="25.5" x14ac:dyDescent="0.2">
      <c r="A17" s="1527"/>
      <c r="B17" s="855" t="s">
        <v>101</v>
      </c>
      <c r="C17" s="727"/>
      <c r="D17" s="727"/>
      <c r="E17" s="727"/>
      <c r="F17" s="867"/>
      <c r="G17" s="24"/>
    </row>
    <row r="18" spans="1:7" x14ac:dyDescent="0.2">
      <c r="A18" s="1527"/>
      <c r="B18" s="855" t="s">
        <v>90</v>
      </c>
      <c r="C18" s="727">
        <v>75000</v>
      </c>
      <c r="D18" s="727">
        <v>201000</v>
      </c>
      <c r="E18" s="727">
        <v>180863</v>
      </c>
      <c r="F18" s="867">
        <f>E18/D18*100</f>
        <v>89.981592039801001</v>
      </c>
      <c r="G18" s="24"/>
    </row>
    <row r="19" spans="1:7" x14ac:dyDescent="0.2">
      <c r="A19" s="1527"/>
      <c r="B19" s="855" t="s">
        <v>102</v>
      </c>
      <c r="C19" s="727"/>
      <c r="D19" s="727"/>
      <c r="E19" s="727"/>
      <c r="F19" s="854"/>
      <c r="G19" s="24"/>
    </row>
    <row r="20" spans="1:7" ht="25.5" x14ac:dyDescent="0.2">
      <c r="A20" s="1527"/>
      <c r="B20" s="855" t="s">
        <v>97</v>
      </c>
      <c r="C20" s="727"/>
      <c r="D20" s="727"/>
      <c r="E20" s="727"/>
      <c r="F20" s="854"/>
      <c r="G20" s="24"/>
    </row>
    <row r="21" spans="1:7" x14ac:dyDescent="0.2">
      <c r="A21" s="1527"/>
      <c r="B21" s="855" t="s">
        <v>103</v>
      </c>
      <c r="C21" s="727"/>
      <c r="D21" s="727"/>
      <c r="E21" s="727"/>
      <c r="F21" s="854"/>
      <c r="G21" s="24"/>
    </row>
    <row r="22" spans="1:7" x14ac:dyDescent="0.2">
      <c r="A22" s="1527"/>
      <c r="B22" s="855" t="s">
        <v>92</v>
      </c>
      <c r="C22" s="727"/>
      <c r="D22" s="727"/>
      <c r="E22" s="727"/>
      <c r="F22" s="854"/>
      <c r="G22" s="24"/>
    </row>
    <row r="23" spans="1:7" s="742" customFormat="1" x14ac:dyDescent="0.2">
      <c r="A23" s="1527"/>
      <c r="B23" s="855" t="s">
        <v>93</v>
      </c>
      <c r="C23" s="741"/>
      <c r="D23" s="741"/>
      <c r="E23" s="741"/>
      <c r="F23" s="854"/>
      <c r="G23" s="856"/>
    </row>
    <row r="24" spans="1:7" s="742" customFormat="1" x14ac:dyDescent="0.2">
      <c r="A24" s="1527"/>
      <c r="B24" s="855" t="s">
        <v>94</v>
      </c>
      <c r="C24" s="741"/>
      <c r="D24" s="741"/>
      <c r="E24" s="741"/>
      <c r="F24" s="854"/>
      <c r="G24" s="856"/>
    </row>
    <row r="25" spans="1:7" s="742" customFormat="1" ht="13.5" thickBot="1" x14ac:dyDescent="0.25">
      <c r="A25" s="1527"/>
      <c r="B25" s="857" t="s">
        <v>104</v>
      </c>
      <c r="C25" s="743"/>
      <c r="D25" s="743"/>
      <c r="E25" s="743"/>
      <c r="F25" s="854"/>
      <c r="G25" s="856"/>
    </row>
    <row r="26" spans="1:7" s="742" customFormat="1" ht="13.5" thickBot="1" x14ac:dyDescent="0.25">
      <c r="A26" s="1527"/>
      <c r="B26" s="858" t="s">
        <v>14</v>
      </c>
      <c r="C26" s="749">
        <f>SUM(C16:C25)</f>
        <v>75000</v>
      </c>
      <c r="D26" s="749">
        <f>SUM(D16:D25)</f>
        <v>201000</v>
      </c>
      <c r="E26" s="749">
        <f>SUM(E16:E25)</f>
        <v>180863</v>
      </c>
      <c r="F26" s="859"/>
      <c r="G26" s="856"/>
    </row>
    <row r="27" spans="1:7" s="742" customFormat="1" ht="13.15" customHeight="1" x14ac:dyDescent="0.2">
      <c r="A27" s="1526" t="s">
        <v>73</v>
      </c>
      <c r="B27" s="860" t="s">
        <v>88</v>
      </c>
      <c r="C27" s="853"/>
      <c r="D27" s="853"/>
      <c r="E27" s="853"/>
      <c r="F27" s="861"/>
      <c r="G27" s="856"/>
    </row>
    <row r="28" spans="1:7" s="742" customFormat="1" ht="25.5" x14ac:dyDescent="0.2">
      <c r="A28" s="1527"/>
      <c r="B28" s="862" t="s">
        <v>101</v>
      </c>
      <c r="C28" s="727"/>
      <c r="D28" s="727"/>
      <c r="E28" s="727"/>
      <c r="F28" s="854"/>
      <c r="G28" s="856"/>
    </row>
    <row r="29" spans="1:7" s="742" customFormat="1" x14ac:dyDescent="0.2">
      <c r="A29" s="1527"/>
      <c r="B29" s="862" t="s">
        <v>90</v>
      </c>
      <c r="C29" s="727">
        <v>17183622</v>
      </c>
      <c r="D29" s="727">
        <v>23897766</v>
      </c>
      <c r="E29" s="727">
        <v>17886467</v>
      </c>
      <c r="F29" s="867">
        <f>E29/D29*100</f>
        <v>74.845770102527581</v>
      </c>
      <c r="G29" s="856"/>
    </row>
    <row r="30" spans="1:7" s="742" customFormat="1" x14ac:dyDescent="0.2">
      <c r="A30" s="1527"/>
      <c r="B30" s="862" t="s">
        <v>102</v>
      </c>
      <c r="C30" s="727"/>
      <c r="D30" s="727"/>
      <c r="E30" s="727"/>
      <c r="F30" s="854"/>
      <c r="G30" s="856"/>
    </row>
    <row r="31" spans="1:7" s="742" customFormat="1" ht="25.5" x14ac:dyDescent="0.2">
      <c r="A31" s="1527"/>
      <c r="B31" s="862" t="s">
        <v>97</v>
      </c>
      <c r="C31" s="727">
        <v>6624673</v>
      </c>
      <c r="D31" s="727">
        <v>9781617</v>
      </c>
      <c r="E31" s="727">
        <v>9837268</v>
      </c>
      <c r="F31" s="867">
        <f>E31/D31*100</f>
        <v>100.56893456368205</v>
      </c>
      <c r="G31" s="856"/>
    </row>
    <row r="32" spans="1:7" s="742" customFormat="1" x14ac:dyDescent="0.2">
      <c r="A32" s="1527"/>
      <c r="B32" s="862" t="s">
        <v>103</v>
      </c>
      <c r="C32" s="727"/>
      <c r="D32" s="727"/>
      <c r="E32" s="727"/>
      <c r="F32" s="854"/>
      <c r="G32" s="856"/>
    </row>
    <row r="33" spans="1:7" s="742" customFormat="1" x14ac:dyDescent="0.2">
      <c r="A33" s="1527"/>
      <c r="B33" s="862" t="s">
        <v>92</v>
      </c>
      <c r="C33" s="727">
        <v>61333996</v>
      </c>
      <c r="D33" s="727">
        <v>52406007</v>
      </c>
      <c r="E33" s="727">
        <v>17025885</v>
      </c>
      <c r="F33" s="867">
        <f>E33/D33*100</f>
        <v>32.488422558123922</v>
      </c>
      <c r="G33" s="856"/>
    </row>
    <row r="34" spans="1:7" s="742" customFormat="1" x14ac:dyDescent="0.2">
      <c r="A34" s="1527"/>
      <c r="B34" s="862" t="s">
        <v>93</v>
      </c>
      <c r="C34" s="741"/>
      <c r="D34" s="747">
        <v>3642638</v>
      </c>
      <c r="E34" s="741">
        <v>2953789</v>
      </c>
      <c r="F34" s="867">
        <f>E34/D34*100</f>
        <v>81.08928199837591</v>
      </c>
      <c r="G34" s="856"/>
    </row>
    <row r="35" spans="1:7" s="742" customFormat="1" x14ac:dyDescent="0.2">
      <c r="A35" s="1527"/>
      <c r="B35" s="862" t="s">
        <v>94</v>
      </c>
      <c r="C35" s="741"/>
      <c r="D35" s="747"/>
      <c r="E35" s="741"/>
      <c r="F35" s="867"/>
      <c r="G35" s="856"/>
    </row>
    <row r="36" spans="1:7" s="742" customFormat="1" ht="13.5" thickBot="1" x14ac:dyDescent="0.25">
      <c r="A36" s="1527"/>
      <c r="B36" s="863" t="s">
        <v>104</v>
      </c>
      <c r="C36" s="743"/>
      <c r="D36" s="748"/>
      <c r="E36" s="743"/>
      <c r="F36" s="868"/>
      <c r="G36" s="856"/>
    </row>
    <row r="37" spans="1:7" s="742" customFormat="1" ht="13.5" thickBot="1" x14ac:dyDescent="0.25">
      <c r="A37" s="1527"/>
      <c r="B37" s="858" t="s">
        <v>14</v>
      </c>
      <c r="C37" s="749">
        <f>SUM(C27:C36)</f>
        <v>85142291</v>
      </c>
      <c r="D37" s="749">
        <f>SUM(D27:D36)</f>
        <v>89728028</v>
      </c>
      <c r="E37" s="749">
        <f>SUM(E27:E36)</f>
        <v>47703409</v>
      </c>
      <c r="F37" s="859">
        <f>E37/D37*100</f>
        <v>53.164446007885068</v>
      </c>
      <c r="G37" s="856"/>
    </row>
    <row r="38" spans="1:7" ht="17.25" customHeight="1" x14ac:dyDescent="0.2">
      <c r="A38" s="1526" t="s">
        <v>74</v>
      </c>
      <c r="B38" s="860" t="s">
        <v>88</v>
      </c>
      <c r="C38" s="865"/>
      <c r="D38" s="865"/>
      <c r="E38" s="865"/>
      <c r="F38" s="861"/>
      <c r="G38" s="24"/>
    </row>
    <row r="39" spans="1:7" ht="25.5" x14ac:dyDescent="0.2">
      <c r="A39" s="1527"/>
      <c r="B39" s="862" t="s">
        <v>101</v>
      </c>
      <c r="C39" s="747"/>
      <c r="D39" s="747"/>
      <c r="E39" s="747"/>
      <c r="F39" s="854"/>
      <c r="G39" s="24"/>
    </row>
    <row r="40" spans="1:7" ht="17.25" customHeight="1" x14ac:dyDescent="0.2">
      <c r="A40" s="1527"/>
      <c r="B40" s="862" t="s">
        <v>90</v>
      </c>
      <c r="C40" s="747"/>
      <c r="D40" s="747"/>
      <c r="E40" s="747"/>
      <c r="F40" s="854"/>
      <c r="G40" s="24"/>
    </row>
    <row r="41" spans="1:7" ht="17.25" customHeight="1" x14ac:dyDescent="0.2">
      <c r="A41" s="1527"/>
      <c r="B41" s="862" t="s">
        <v>102</v>
      </c>
      <c r="C41" s="747"/>
      <c r="D41" s="747"/>
      <c r="E41" s="747"/>
      <c r="F41" s="854"/>
      <c r="G41" s="24"/>
    </row>
    <row r="42" spans="1:7" ht="21.75" customHeight="1" x14ac:dyDescent="0.2">
      <c r="A42" s="1527"/>
      <c r="B42" s="862" t="s">
        <v>97</v>
      </c>
      <c r="C42" s="747">
        <v>84360</v>
      </c>
      <c r="D42" s="747">
        <v>84360</v>
      </c>
      <c r="E42" s="747">
        <v>84360</v>
      </c>
      <c r="F42" s="867">
        <f>E42/D42*100</f>
        <v>100</v>
      </c>
      <c r="G42" s="24"/>
    </row>
    <row r="43" spans="1:7" ht="17.25" customHeight="1" x14ac:dyDescent="0.2">
      <c r="A43" s="1527"/>
      <c r="B43" s="862" t="s">
        <v>103</v>
      </c>
      <c r="C43" s="747"/>
      <c r="D43" s="747"/>
      <c r="E43" s="747"/>
      <c r="F43" s="854"/>
      <c r="G43" s="24"/>
    </row>
    <row r="44" spans="1:7" x14ac:dyDescent="0.2">
      <c r="A44" s="1527"/>
      <c r="B44" s="862" t="s">
        <v>92</v>
      </c>
      <c r="C44" s="747"/>
      <c r="D44" s="747"/>
      <c r="E44" s="747"/>
      <c r="F44" s="854"/>
      <c r="G44" s="24"/>
    </row>
    <row r="45" spans="1:7" x14ac:dyDescent="0.2">
      <c r="A45" s="1527"/>
      <c r="B45" s="862" t="s">
        <v>93</v>
      </c>
      <c r="C45" s="741"/>
      <c r="D45" s="741"/>
      <c r="E45" s="741"/>
      <c r="F45" s="854"/>
      <c r="G45" s="24"/>
    </row>
    <row r="46" spans="1:7" x14ac:dyDescent="0.2">
      <c r="A46" s="1527"/>
      <c r="B46" s="862" t="s">
        <v>94</v>
      </c>
      <c r="C46" s="741"/>
      <c r="D46" s="741"/>
      <c r="E46" s="741"/>
      <c r="F46" s="854"/>
      <c r="G46" s="24"/>
    </row>
    <row r="47" spans="1:7" ht="13.5" thickBot="1" x14ac:dyDescent="0.25">
      <c r="A47" s="1527"/>
      <c r="B47" s="863" t="s">
        <v>104</v>
      </c>
      <c r="C47" s="743">
        <v>11049981</v>
      </c>
      <c r="D47" s="743">
        <v>19607382</v>
      </c>
      <c r="E47" s="743">
        <v>19607292</v>
      </c>
      <c r="F47" s="867">
        <v>100</v>
      </c>
      <c r="G47" s="24"/>
    </row>
    <row r="48" spans="1:7" ht="13.5" thickBot="1" x14ac:dyDescent="0.25">
      <c r="A48" s="1527"/>
      <c r="B48" s="858" t="s">
        <v>14</v>
      </c>
      <c r="C48" s="749">
        <f>SUM(C38:C47)</f>
        <v>11134341</v>
      </c>
      <c r="D48" s="749">
        <f>SUM(D38:D47)</f>
        <v>19691742</v>
      </c>
      <c r="E48" s="749">
        <f>SUM(E38:E47)</f>
        <v>19691652</v>
      </c>
      <c r="F48" s="859">
        <f>E48/D48*100</f>
        <v>99.999542955620697</v>
      </c>
      <c r="G48" s="24"/>
    </row>
    <row r="49" spans="1:7" ht="17.25" customHeight="1" x14ac:dyDescent="0.2">
      <c r="A49" s="1526" t="s">
        <v>311</v>
      </c>
      <c r="B49" s="860" t="s">
        <v>88</v>
      </c>
      <c r="C49" s="853"/>
      <c r="D49" s="853"/>
      <c r="E49" s="853"/>
      <c r="F49" s="866"/>
      <c r="G49" s="24"/>
    </row>
    <row r="50" spans="1:7" ht="25.5" x14ac:dyDescent="0.2">
      <c r="A50" s="1527"/>
      <c r="B50" s="862" t="s">
        <v>101</v>
      </c>
      <c r="C50" s="727"/>
      <c r="D50" s="727"/>
      <c r="E50" s="727"/>
      <c r="F50" s="867"/>
      <c r="G50" s="24"/>
    </row>
    <row r="51" spans="1:7" ht="17.25" customHeight="1" x14ac:dyDescent="0.2">
      <c r="A51" s="1527"/>
      <c r="B51" s="862" t="s">
        <v>90</v>
      </c>
      <c r="C51" s="727"/>
      <c r="D51" s="727"/>
      <c r="E51" s="727"/>
      <c r="F51" s="867"/>
      <c r="G51" s="24"/>
    </row>
    <row r="52" spans="1:7" ht="17.25" customHeight="1" x14ac:dyDescent="0.2">
      <c r="A52" s="1527"/>
      <c r="B52" s="862" t="s">
        <v>102</v>
      </c>
      <c r="C52" s="727"/>
      <c r="D52" s="727"/>
      <c r="E52" s="727"/>
      <c r="F52" s="867"/>
      <c r="G52" s="24"/>
    </row>
    <row r="53" spans="1:7" ht="28.5" customHeight="1" x14ac:dyDescent="0.2">
      <c r="A53" s="1527"/>
      <c r="B53" s="862" t="s">
        <v>97</v>
      </c>
      <c r="C53" s="727">
        <v>12557000</v>
      </c>
      <c r="D53" s="727">
        <v>6148445</v>
      </c>
      <c r="E53" s="727">
        <v>6148445</v>
      </c>
      <c r="F53" s="867">
        <f>E53/D53*100</f>
        <v>100</v>
      </c>
      <c r="G53" s="24"/>
    </row>
    <row r="54" spans="1:7" ht="17.25" customHeight="1" x14ac:dyDescent="0.2">
      <c r="A54" s="1527"/>
      <c r="B54" s="862" t="s">
        <v>103</v>
      </c>
      <c r="C54" s="727"/>
      <c r="D54" s="727"/>
      <c r="E54" s="727"/>
      <c r="F54" s="867"/>
      <c r="G54" s="24"/>
    </row>
    <row r="55" spans="1:7" x14ac:dyDescent="0.2">
      <c r="A55" s="1527"/>
      <c r="B55" s="862" t="s">
        <v>92</v>
      </c>
      <c r="C55" s="727"/>
      <c r="D55" s="727"/>
      <c r="E55" s="727"/>
      <c r="F55" s="867"/>
      <c r="G55" s="24"/>
    </row>
    <row r="56" spans="1:7" x14ac:dyDescent="0.2">
      <c r="A56" s="1527"/>
      <c r="B56" s="862" t="s">
        <v>93</v>
      </c>
      <c r="C56" s="741"/>
      <c r="D56" s="741"/>
      <c r="E56" s="741"/>
      <c r="F56" s="867"/>
      <c r="G56" s="24"/>
    </row>
    <row r="57" spans="1:7" x14ac:dyDescent="0.2">
      <c r="A57" s="1527"/>
      <c r="B57" s="862" t="s">
        <v>94</v>
      </c>
      <c r="C57" s="741"/>
      <c r="D57" s="741"/>
      <c r="E57" s="741"/>
      <c r="F57" s="867"/>
      <c r="G57" s="24"/>
    </row>
    <row r="58" spans="1:7" ht="13.5" thickBot="1" x14ac:dyDescent="0.25">
      <c r="A58" s="1527"/>
      <c r="B58" s="863" t="s">
        <v>104</v>
      </c>
      <c r="C58" s="743">
        <v>132912153</v>
      </c>
      <c r="D58" s="743">
        <v>136536843</v>
      </c>
      <c r="E58" s="743">
        <v>127912569</v>
      </c>
      <c r="F58" s="867">
        <f>E58/D58*100</f>
        <v>93.68355543419149</v>
      </c>
      <c r="G58" s="24"/>
    </row>
    <row r="59" spans="1:7" ht="13.5" thickBot="1" x14ac:dyDescent="0.25">
      <c r="A59" s="1527"/>
      <c r="B59" s="858" t="s">
        <v>14</v>
      </c>
      <c r="C59" s="749">
        <f>SUM(C49:C58)</f>
        <v>145469153</v>
      </c>
      <c r="D59" s="749">
        <f>SUM(D49:D58)</f>
        <v>142685288</v>
      </c>
      <c r="E59" s="749">
        <f>SUM(E49:E58)</f>
        <v>134061014</v>
      </c>
      <c r="F59" s="859">
        <f>E59/D59*100</f>
        <v>93.955737048377415</v>
      </c>
      <c r="G59" s="24"/>
    </row>
    <row r="60" spans="1:7" ht="17.25" customHeight="1" x14ac:dyDescent="0.2">
      <c r="A60" s="1526" t="s">
        <v>106</v>
      </c>
      <c r="B60" s="860" t="s">
        <v>88</v>
      </c>
      <c r="C60" s="853"/>
      <c r="D60" s="853"/>
      <c r="E60" s="853"/>
      <c r="F60" s="866"/>
      <c r="G60" s="24"/>
    </row>
    <row r="61" spans="1:7" ht="25.5" x14ac:dyDescent="0.2">
      <c r="A61" s="1527"/>
      <c r="B61" s="862" t="s">
        <v>101</v>
      </c>
      <c r="C61" s="727"/>
      <c r="D61" s="727"/>
      <c r="E61" s="727"/>
      <c r="F61" s="867"/>
      <c r="G61" s="24"/>
    </row>
    <row r="62" spans="1:7" ht="17.25" customHeight="1" x14ac:dyDescent="0.2">
      <c r="A62" s="1527"/>
      <c r="B62" s="862" t="s">
        <v>90</v>
      </c>
      <c r="C62" s="727"/>
      <c r="D62" s="727"/>
      <c r="E62" s="727"/>
      <c r="F62" s="867"/>
      <c r="G62" s="24"/>
    </row>
    <row r="63" spans="1:7" ht="17.25" customHeight="1" x14ac:dyDescent="0.2">
      <c r="A63" s="1527"/>
      <c r="B63" s="862" t="s">
        <v>102</v>
      </c>
      <c r="C63" s="727"/>
      <c r="D63" s="727"/>
      <c r="E63" s="727"/>
      <c r="F63" s="867"/>
      <c r="G63" s="24"/>
    </row>
    <row r="64" spans="1:7" ht="29.25" customHeight="1" x14ac:dyDescent="0.2">
      <c r="A64" s="1527"/>
      <c r="B64" s="862" t="s">
        <v>97</v>
      </c>
      <c r="C64" s="727">
        <v>10515654</v>
      </c>
      <c r="D64" s="727">
        <v>10515654</v>
      </c>
      <c r="E64" s="727">
        <v>10515654</v>
      </c>
      <c r="F64" s="867">
        <f>E64/D64*100</f>
        <v>100</v>
      </c>
      <c r="G64" s="24"/>
    </row>
    <row r="65" spans="1:7" ht="17.25" customHeight="1" x14ac:dyDescent="0.2">
      <c r="A65" s="1527"/>
      <c r="B65" s="862" t="s">
        <v>103</v>
      </c>
      <c r="C65" s="727"/>
      <c r="D65" s="727"/>
      <c r="E65" s="727"/>
      <c r="F65" s="867"/>
      <c r="G65" s="24"/>
    </row>
    <row r="66" spans="1:7" x14ac:dyDescent="0.2">
      <c r="A66" s="1527"/>
      <c r="B66" s="862" t="s">
        <v>92</v>
      </c>
      <c r="C66" s="727"/>
      <c r="D66" s="727"/>
      <c r="E66" s="727"/>
      <c r="F66" s="867"/>
      <c r="G66" s="24"/>
    </row>
    <row r="67" spans="1:7" x14ac:dyDescent="0.2">
      <c r="A67" s="1527"/>
      <c r="B67" s="862" t="s">
        <v>93</v>
      </c>
      <c r="C67" s="741"/>
      <c r="D67" s="741"/>
      <c r="E67" s="741"/>
      <c r="F67" s="867"/>
      <c r="G67" s="24"/>
    </row>
    <row r="68" spans="1:7" x14ac:dyDescent="0.2">
      <c r="A68" s="1527"/>
      <c r="B68" s="862" t="s">
        <v>94</v>
      </c>
      <c r="C68" s="741"/>
      <c r="D68" s="741"/>
      <c r="E68" s="741"/>
      <c r="F68" s="867"/>
      <c r="G68" s="24"/>
    </row>
    <row r="69" spans="1:7" ht="13.5" thickBot="1" x14ac:dyDescent="0.25">
      <c r="A69" s="1527"/>
      <c r="B69" s="863" t="s">
        <v>104</v>
      </c>
      <c r="C69" s="743"/>
      <c r="D69" s="743"/>
      <c r="E69" s="743"/>
      <c r="F69" s="868"/>
      <c r="G69" s="24"/>
    </row>
    <row r="70" spans="1:7" ht="13.5" thickBot="1" x14ac:dyDescent="0.25">
      <c r="A70" s="1527"/>
      <c r="B70" s="858" t="s">
        <v>14</v>
      </c>
      <c r="C70" s="749">
        <f>SUM(C60:C69)</f>
        <v>10515654</v>
      </c>
      <c r="D70" s="1139">
        <f>SUM(D60:D69)</f>
        <v>10515654</v>
      </c>
      <c r="E70" s="749">
        <f>SUM(E60:E69)</f>
        <v>10515654</v>
      </c>
      <c r="F70" s="859">
        <f>E70/D70*100</f>
        <v>100</v>
      </c>
      <c r="G70" s="24"/>
    </row>
    <row r="71" spans="1:7" ht="17.25" customHeight="1" x14ac:dyDescent="0.2">
      <c r="A71" s="1526" t="s">
        <v>77</v>
      </c>
      <c r="B71" s="860" t="s">
        <v>88</v>
      </c>
      <c r="C71" s="853">
        <v>1366743</v>
      </c>
      <c r="D71" s="853">
        <v>65624971</v>
      </c>
      <c r="E71" s="853">
        <v>65624971</v>
      </c>
      <c r="F71" s="867">
        <f t="shared" ref="F71:F73" si="1">E71/D71*100</f>
        <v>100</v>
      </c>
      <c r="G71" s="24"/>
    </row>
    <row r="72" spans="1:7" ht="25.5" x14ac:dyDescent="0.2">
      <c r="A72" s="1527"/>
      <c r="B72" s="862" t="s">
        <v>101</v>
      </c>
      <c r="C72" s="727">
        <v>133257</v>
      </c>
      <c r="D72" s="727">
        <v>9153483</v>
      </c>
      <c r="E72" s="727">
        <v>9153483</v>
      </c>
      <c r="F72" s="867">
        <f t="shared" si="1"/>
        <v>100</v>
      </c>
      <c r="G72" s="24"/>
    </row>
    <row r="73" spans="1:7" ht="17.25" customHeight="1" x14ac:dyDescent="0.2">
      <c r="A73" s="1527"/>
      <c r="B73" s="862" t="s">
        <v>90</v>
      </c>
      <c r="C73" s="727"/>
      <c r="D73" s="727">
        <v>26600</v>
      </c>
      <c r="E73" s="727">
        <v>26600</v>
      </c>
      <c r="F73" s="867">
        <f t="shared" si="1"/>
        <v>100</v>
      </c>
      <c r="G73" s="24"/>
    </row>
    <row r="74" spans="1:7" ht="17.25" customHeight="1" x14ac:dyDescent="0.2">
      <c r="A74" s="1527"/>
      <c r="B74" s="862" t="s">
        <v>102</v>
      </c>
      <c r="C74" s="727"/>
      <c r="D74" s="727"/>
      <c r="E74" s="727"/>
      <c r="F74" s="867"/>
      <c r="G74" s="24"/>
    </row>
    <row r="75" spans="1:7" ht="33.75" customHeight="1" x14ac:dyDescent="0.2">
      <c r="A75" s="1527"/>
      <c r="B75" s="862" t="s">
        <v>97</v>
      </c>
      <c r="C75" s="727"/>
      <c r="D75" s="727"/>
      <c r="E75" s="727"/>
      <c r="F75" s="867"/>
      <c r="G75" s="24"/>
    </row>
    <row r="76" spans="1:7" ht="17.25" customHeight="1" x14ac:dyDescent="0.2">
      <c r="A76" s="1527"/>
      <c r="B76" s="862" t="s">
        <v>103</v>
      </c>
      <c r="C76" s="727"/>
      <c r="D76" s="727"/>
      <c r="E76" s="727"/>
      <c r="F76" s="867"/>
      <c r="G76" s="24"/>
    </row>
    <row r="77" spans="1:7" x14ac:dyDescent="0.2">
      <c r="A77" s="1527"/>
      <c r="B77" s="862" t="s">
        <v>92</v>
      </c>
      <c r="C77" s="727"/>
      <c r="D77" s="727"/>
      <c r="E77" s="727"/>
      <c r="F77" s="867"/>
      <c r="G77" s="24"/>
    </row>
    <row r="78" spans="1:7" x14ac:dyDescent="0.2">
      <c r="A78" s="1527"/>
      <c r="B78" s="862" t="s">
        <v>93</v>
      </c>
      <c r="C78" s="741"/>
      <c r="D78" s="744"/>
      <c r="E78" s="744"/>
      <c r="F78" s="867"/>
      <c r="G78" s="24"/>
    </row>
    <row r="79" spans="1:7" x14ac:dyDescent="0.2">
      <c r="A79" s="1527"/>
      <c r="B79" s="862" t="s">
        <v>94</v>
      </c>
      <c r="C79" s="741"/>
      <c r="D79" s="747"/>
      <c r="E79" s="741"/>
      <c r="F79" s="867"/>
      <c r="G79" s="24"/>
    </row>
    <row r="80" spans="1:7" ht="13.5" thickBot="1" x14ac:dyDescent="0.25">
      <c r="A80" s="1527"/>
      <c r="B80" s="863" t="s">
        <v>104</v>
      </c>
      <c r="C80" s="743"/>
      <c r="D80" s="748"/>
      <c r="E80" s="743"/>
      <c r="F80" s="867"/>
      <c r="G80" s="24"/>
    </row>
    <row r="81" spans="1:11" ht="13.5" thickBot="1" x14ac:dyDescent="0.25">
      <c r="A81" s="1527"/>
      <c r="B81" s="858" t="s">
        <v>14</v>
      </c>
      <c r="C81" s="749">
        <f>SUM(C71:C80)</f>
        <v>1500000</v>
      </c>
      <c r="D81" s="869">
        <f>SUM(D71:D80)</f>
        <v>74805054</v>
      </c>
      <c r="E81" s="749">
        <f>SUM(E71:E80)</f>
        <v>74805054</v>
      </c>
      <c r="F81" s="859">
        <f>E81/D81*100</f>
        <v>100</v>
      </c>
      <c r="G81" s="24"/>
    </row>
    <row r="82" spans="1:11" ht="13.5" thickBot="1" x14ac:dyDescent="0.25">
      <c r="A82" s="870" t="s">
        <v>72</v>
      </c>
      <c r="B82" s="871" t="s">
        <v>24</v>
      </c>
      <c r="C82" s="872" t="s">
        <v>156</v>
      </c>
      <c r="D82" s="872" t="s">
        <v>148</v>
      </c>
      <c r="E82" s="872" t="s">
        <v>149</v>
      </c>
      <c r="F82" s="873" t="s">
        <v>150</v>
      </c>
      <c r="G82" s="24"/>
    </row>
    <row r="83" spans="1:11" ht="12.75" customHeight="1" x14ac:dyDescent="0.2">
      <c r="A83" s="1529" t="s">
        <v>78</v>
      </c>
      <c r="B83" s="860" t="s">
        <v>88</v>
      </c>
      <c r="C83" s="853">
        <v>78015228</v>
      </c>
      <c r="D83" s="1145">
        <v>369315391</v>
      </c>
      <c r="E83" s="874">
        <v>307878853</v>
      </c>
      <c r="F83" s="867">
        <f>E83/D83*100</f>
        <v>83.364750157406789</v>
      </c>
      <c r="G83" s="24"/>
    </row>
    <row r="84" spans="1:11" ht="25.5" x14ac:dyDescent="0.2">
      <c r="A84" s="1530"/>
      <c r="B84" s="862" t="s">
        <v>101</v>
      </c>
      <c r="C84" s="727">
        <v>7967000</v>
      </c>
      <c r="D84" s="747">
        <v>43302933</v>
      </c>
      <c r="E84" s="745">
        <v>34966402</v>
      </c>
      <c r="F84" s="867">
        <f>E84/D84*100</f>
        <v>80.748345614372127</v>
      </c>
      <c r="G84" s="24"/>
    </row>
    <row r="85" spans="1:11" x14ac:dyDescent="0.2">
      <c r="A85" s="1530"/>
      <c r="B85" s="862" t="s">
        <v>90</v>
      </c>
      <c r="C85" s="727">
        <v>32629277</v>
      </c>
      <c r="D85" s="747">
        <v>59849496</v>
      </c>
      <c r="E85" s="745">
        <v>59137504</v>
      </c>
      <c r="F85" s="867">
        <f>E85/D85*100</f>
        <v>98.810362580162746</v>
      </c>
      <c r="G85" s="24"/>
    </row>
    <row r="86" spans="1:11" x14ac:dyDescent="0.2">
      <c r="A86" s="1530"/>
      <c r="B86" s="862" t="s">
        <v>102</v>
      </c>
      <c r="C86" s="727"/>
      <c r="D86" s="747"/>
      <c r="E86" s="745"/>
      <c r="F86" s="867"/>
      <c r="G86" s="24"/>
    </row>
    <row r="87" spans="1:11" ht="25.5" x14ac:dyDescent="0.2">
      <c r="A87" s="1530"/>
      <c r="B87" s="862" t="s">
        <v>97</v>
      </c>
      <c r="C87" s="727">
        <v>11522448</v>
      </c>
      <c r="D87" s="747">
        <v>11410751</v>
      </c>
      <c r="E87" s="745">
        <v>11410751</v>
      </c>
      <c r="F87" s="867">
        <f t="shared" ref="F87" si="2">E87/D87*100</f>
        <v>100</v>
      </c>
      <c r="G87" s="24"/>
    </row>
    <row r="88" spans="1:11" x14ac:dyDescent="0.2">
      <c r="A88" s="1530"/>
      <c r="B88" s="862" t="s">
        <v>103</v>
      </c>
      <c r="C88" s="727"/>
      <c r="D88" s="747"/>
      <c r="E88" s="745"/>
      <c r="F88" s="867"/>
      <c r="G88" s="24"/>
    </row>
    <row r="89" spans="1:11" x14ac:dyDescent="0.2">
      <c r="A89" s="1530"/>
      <c r="B89" s="862" t="s">
        <v>92</v>
      </c>
      <c r="C89" s="727">
        <v>15594493</v>
      </c>
      <c r="D89" s="747">
        <v>21305502</v>
      </c>
      <c r="E89" s="745">
        <v>22273567</v>
      </c>
      <c r="F89" s="867">
        <f>E89/D89*100</f>
        <v>104.54373241240691</v>
      </c>
      <c r="G89" s="24"/>
    </row>
    <row r="90" spans="1:11" x14ac:dyDescent="0.2">
      <c r="A90" s="1530"/>
      <c r="B90" s="862" t="s">
        <v>93</v>
      </c>
      <c r="C90" s="741">
        <v>9809459</v>
      </c>
      <c r="D90" s="747">
        <v>9809459</v>
      </c>
      <c r="E90" s="745"/>
      <c r="F90" s="867"/>
      <c r="G90" s="24"/>
    </row>
    <row r="91" spans="1:11" x14ac:dyDescent="0.2">
      <c r="A91" s="1530"/>
      <c r="B91" s="862" t="s">
        <v>94</v>
      </c>
      <c r="C91" s="741"/>
      <c r="D91" s="747"/>
      <c r="E91" s="745"/>
      <c r="F91" s="867"/>
      <c r="G91" s="24"/>
    </row>
    <row r="92" spans="1:11" ht="13.5" thickBot="1" x14ac:dyDescent="0.25">
      <c r="A92" s="1530"/>
      <c r="B92" s="863" t="s">
        <v>104</v>
      </c>
      <c r="C92" s="743"/>
      <c r="D92" s="748"/>
      <c r="E92" s="746"/>
      <c r="F92" s="868"/>
      <c r="G92" s="24"/>
    </row>
    <row r="93" spans="1:11" ht="13.5" thickBot="1" x14ac:dyDescent="0.25">
      <c r="A93" s="1530"/>
      <c r="B93" s="858" t="s">
        <v>14</v>
      </c>
      <c r="C93" s="749">
        <f>SUM(C83:C92)</f>
        <v>155537905</v>
      </c>
      <c r="D93" s="869">
        <f>SUM(D83:D92)</f>
        <v>514993532</v>
      </c>
      <c r="E93" s="875">
        <f>SUM(E83:E92)</f>
        <v>435667077</v>
      </c>
      <c r="F93" s="859">
        <f>E93/D93*100</f>
        <v>84.596611399771916</v>
      </c>
      <c r="G93" s="24"/>
      <c r="I93" s="31"/>
      <c r="K93" s="2"/>
    </row>
    <row r="94" spans="1:11" x14ac:dyDescent="0.2">
      <c r="A94" s="1529" t="s">
        <v>468</v>
      </c>
      <c r="B94" s="860" t="s">
        <v>88</v>
      </c>
      <c r="C94" s="853">
        <v>1172500</v>
      </c>
      <c r="D94" s="1145">
        <v>98960</v>
      </c>
      <c r="E94" s="874">
        <v>98960</v>
      </c>
      <c r="F94" s="867">
        <f>E94/D94*100</f>
        <v>100</v>
      </c>
      <c r="G94" s="24"/>
      <c r="I94" s="31"/>
      <c r="K94" s="2"/>
    </row>
    <row r="95" spans="1:11" ht="25.5" x14ac:dyDescent="0.2">
      <c r="A95" s="1530"/>
      <c r="B95" s="862" t="s">
        <v>101</v>
      </c>
      <c r="C95" s="727">
        <v>231000</v>
      </c>
      <c r="D95" s="747">
        <v>21310</v>
      </c>
      <c r="E95" s="745">
        <v>21310</v>
      </c>
      <c r="F95" s="867">
        <f>E95/D95*100</f>
        <v>100</v>
      </c>
      <c r="G95" s="24"/>
      <c r="I95" s="31"/>
      <c r="K95" s="2"/>
    </row>
    <row r="96" spans="1:11" x14ac:dyDescent="0.2">
      <c r="A96" s="1530"/>
      <c r="B96" s="862" t="s">
        <v>90</v>
      </c>
      <c r="C96" s="727">
        <v>3788900</v>
      </c>
      <c r="D96" s="747">
        <v>4764805</v>
      </c>
      <c r="E96" s="745">
        <v>4574638</v>
      </c>
      <c r="F96" s="867">
        <f>E96/D96*100</f>
        <v>96.008923764980935</v>
      </c>
      <c r="G96" s="24"/>
      <c r="I96" s="31"/>
      <c r="K96" s="2"/>
    </row>
    <row r="97" spans="1:11" x14ac:dyDescent="0.2">
      <c r="A97" s="1530"/>
      <c r="B97" s="862" t="s">
        <v>102</v>
      </c>
      <c r="C97" s="727"/>
      <c r="D97" s="747"/>
      <c r="E97" s="745"/>
      <c r="F97" s="867"/>
      <c r="G97" s="24"/>
      <c r="I97" s="31"/>
      <c r="K97" s="2"/>
    </row>
    <row r="98" spans="1:11" ht="25.5" x14ac:dyDescent="0.2">
      <c r="A98" s="1530"/>
      <c r="B98" s="862" t="s">
        <v>97</v>
      </c>
      <c r="C98" s="727"/>
      <c r="D98" s="747"/>
      <c r="E98" s="745"/>
      <c r="F98" s="867"/>
      <c r="G98" s="24"/>
      <c r="I98" s="31"/>
      <c r="K98" s="2"/>
    </row>
    <row r="99" spans="1:11" x14ac:dyDescent="0.2">
      <c r="A99" s="1530"/>
      <c r="B99" s="862" t="s">
        <v>103</v>
      </c>
      <c r="C99" s="727"/>
      <c r="D99" s="747"/>
      <c r="E99" s="745"/>
      <c r="F99" s="867"/>
      <c r="G99" s="24"/>
      <c r="I99" s="31"/>
      <c r="K99" s="2"/>
    </row>
    <row r="100" spans="1:11" x14ac:dyDescent="0.2">
      <c r="A100" s="1530"/>
      <c r="B100" s="862" t="s">
        <v>92</v>
      </c>
      <c r="C100" s="727">
        <v>100000</v>
      </c>
      <c r="D100" s="747">
        <v>623706</v>
      </c>
      <c r="E100" s="745">
        <v>814597</v>
      </c>
      <c r="F100" s="867">
        <f>E100/D100*100</f>
        <v>130.6059265102468</v>
      </c>
      <c r="G100" s="24"/>
      <c r="I100" s="31"/>
      <c r="K100" s="2"/>
    </row>
    <row r="101" spans="1:11" x14ac:dyDescent="0.2">
      <c r="A101" s="1530"/>
      <c r="B101" s="862" t="s">
        <v>93</v>
      </c>
      <c r="C101" s="741"/>
      <c r="D101" s="747"/>
      <c r="E101" s="745"/>
      <c r="F101" s="867"/>
      <c r="G101" s="24"/>
      <c r="I101" s="31"/>
      <c r="K101" s="2"/>
    </row>
    <row r="102" spans="1:11" x14ac:dyDescent="0.2">
      <c r="A102" s="1530"/>
      <c r="B102" s="862" t="s">
        <v>94</v>
      </c>
      <c r="C102" s="741"/>
      <c r="D102" s="747"/>
      <c r="E102" s="745"/>
      <c r="F102" s="867"/>
      <c r="G102" s="24"/>
      <c r="I102" s="31"/>
      <c r="K102" s="2"/>
    </row>
    <row r="103" spans="1:11" ht="13.5" thickBot="1" x14ac:dyDescent="0.25">
      <c r="A103" s="1530"/>
      <c r="B103" s="863" t="s">
        <v>104</v>
      </c>
      <c r="C103" s="743"/>
      <c r="D103" s="748"/>
      <c r="E103" s="746"/>
      <c r="F103" s="868"/>
      <c r="G103" s="24"/>
      <c r="I103" s="31"/>
      <c r="K103" s="2"/>
    </row>
    <row r="104" spans="1:11" ht="13.5" thickBot="1" x14ac:dyDescent="0.25">
      <c r="A104" s="1530"/>
      <c r="B104" s="858" t="s">
        <v>14</v>
      </c>
      <c r="C104" s="749">
        <f>SUM(C94:C103)</f>
        <v>5292400</v>
      </c>
      <c r="D104" s="869">
        <f>SUM(D94:D103)</f>
        <v>5508781</v>
      </c>
      <c r="E104" s="875">
        <f>SUM(E94:E103)</f>
        <v>5509505</v>
      </c>
      <c r="F104" s="859">
        <f>E104/D104*100</f>
        <v>100.01314265351991</v>
      </c>
      <c r="G104" s="24"/>
      <c r="I104" s="31"/>
      <c r="K104" s="2"/>
    </row>
    <row r="105" spans="1:11" x14ac:dyDescent="0.2">
      <c r="A105" s="1526" t="s">
        <v>424</v>
      </c>
      <c r="B105" s="860" t="s">
        <v>88</v>
      </c>
      <c r="C105" s="853"/>
      <c r="D105" s="853"/>
      <c r="E105" s="853"/>
      <c r="F105" s="866"/>
      <c r="G105" s="876"/>
    </row>
    <row r="106" spans="1:11" ht="25.5" x14ac:dyDescent="0.2">
      <c r="A106" s="1527"/>
      <c r="B106" s="862" t="s">
        <v>101</v>
      </c>
      <c r="C106" s="727"/>
      <c r="D106" s="727"/>
      <c r="E106" s="727"/>
      <c r="F106" s="867"/>
      <c r="G106" s="877"/>
    </row>
    <row r="107" spans="1:11" x14ac:dyDescent="0.2">
      <c r="A107" s="1527"/>
      <c r="B107" s="862" t="s">
        <v>90</v>
      </c>
      <c r="C107" s="727"/>
      <c r="D107" s="727">
        <v>6533382</v>
      </c>
      <c r="E107" s="727">
        <v>6845088</v>
      </c>
      <c r="F107" s="867">
        <f t="shared" ref="F107" si="3">E107/D107*100</f>
        <v>104.77097466518872</v>
      </c>
      <c r="G107" s="878"/>
    </row>
    <row r="108" spans="1:11" x14ac:dyDescent="0.2">
      <c r="A108" s="1527"/>
      <c r="B108" s="862" t="s">
        <v>102</v>
      </c>
      <c r="C108" s="727"/>
      <c r="D108" s="727"/>
      <c r="E108" s="727"/>
      <c r="F108" s="867"/>
      <c r="G108" s="878"/>
    </row>
    <row r="109" spans="1:11" ht="25.5" x14ac:dyDescent="0.2">
      <c r="A109" s="1527"/>
      <c r="B109" s="862" t="s">
        <v>97</v>
      </c>
      <c r="C109" s="727"/>
      <c r="D109" s="727"/>
      <c r="E109" s="727"/>
      <c r="F109" s="867"/>
      <c r="G109" s="878"/>
    </row>
    <row r="110" spans="1:11" x14ac:dyDescent="0.2">
      <c r="A110" s="1527"/>
      <c r="B110" s="862" t="s">
        <v>103</v>
      </c>
      <c r="C110" s="727">
        <v>7666667</v>
      </c>
      <c r="D110" s="727">
        <v>2762116</v>
      </c>
      <c r="E110" s="727"/>
      <c r="F110" s="867"/>
      <c r="G110" s="878"/>
    </row>
    <row r="111" spans="1:11" x14ac:dyDescent="0.2">
      <c r="A111" s="1527"/>
      <c r="B111" s="862" t="s">
        <v>92</v>
      </c>
      <c r="C111" s="727">
        <v>879362403</v>
      </c>
      <c r="D111" s="727">
        <v>870596842</v>
      </c>
      <c r="E111" s="727">
        <v>23399091</v>
      </c>
      <c r="F111" s="867">
        <f>E111/D111*100</f>
        <v>2.6877068547877871</v>
      </c>
      <c r="G111" s="878"/>
    </row>
    <row r="112" spans="1:11" x14ac:dyDescent="0.2">
      <c r="A112" s="1527"/>
      <c r="B112" s="862" t="s">
        <v>93</v>
      </c>
      <c r="C112" s="741">
        <v>24620412</v>
      </c>
      <c r="D112" s="741">
        <v>53216855</v>
      </c>
      <c r="E112" s="741">
        <v>55795129</v>
      </c>
      <c r="F112" s="867">
        <f>E112/D112*100</f>
        <v>104.8448447395097</v>
      </c>
      <c r="G112" s="878"/>
    </row>
    <row r="113" spans="1:7" x14ac:dyDescent="0.2">
      <c r="A113" s="1527"/>
      <c r="B113" s="862" t="s">
        <v>94</v>
      </c>
      <c r="C113" s="741"/>
      <c r="D113" s="741"/>
      <c r="E113" s="741"/>
      <c r="F113" s="867"/>
      <c r="G113" s="878"/>
    </row>
    <row r="114" spans="1:7" ht="13.5" thickBot="1" x14ac:dyDescent="0.25">
      <c r="A114" s="1527"/>
      <c r="B114" s="863" t="s">
        <v>104</v>
      </c>
      <c r="C114" s="743"/>
      <c r="D114" s="743"/>
      <c r="E114" s="743"/>
      <c r="F114" s="868"/>
      <c r="G114" s="878"/>
    </row>
    <row r="115" spans="1:7" ht="13.5" thickBot="1" x14ac:dyDescent="0.25">
      <c r="A115" s="1527"/>
      <c r="B115" s="1007" t="s">
        <v>14</v>
      </c>
      <c r="C115" s="1144">
        <f>SUM(C105:C114)</f>
        <v>911649482</v>
      </c>
      <c r="D115" s="749">
        <f>SUM(D105:D114)</f>
        <v>933109195</v>
      </c>
      <c r="E115" s="1344">
        <f>SUM(E105:E114)</f>
        <v>86039308</v>
      </c>
      <c r="F115" s="1343">
        <f>E115/D115*100</f>
        <v>9.2207116231450286</v>
      </c>
      <c r="G115" s="878"/>
    </row>
    <row r="116" spans="1:7" x14ac:dyDescent="0.2">
      <c r="A116" s="1526" t="s">
        <v>581</v>
      </c>
      <c r="B116" s="860" t="s">
        <v>88</v>
      </c>
      <c r="C116" s="853"/>
      <c r="D116" s="853"/>
      <c r="E116" s="853"/>
      <c r="F116" s="866"/>
      <c r="G116" s="878"/>
    </row>
    <row r="117" spans="1:7" ht="25.5" x14ac:dyDescent="0.2">
      <c r="A117" s="1527"/>
      <c r="B117" s="862" t="s">
        <v>101</v>
      </c>
      <c r="C117" s="727"/>
      <c r="D117" s="727"/>
      <c r="E117" s="727"/>
      <c r="F117" s="867"/>
      <c r="G117" s="878"/>
    </row>
    <row r="118" spans="1:7" x14ac:dyDescent="0.2">
      <c r="A118" s="1527"/>
      <c r="B118" s="862" t="s">
        <v>90</v>
      </c>
      <c r="C118" s="727"/>
      <c r="D118" s="727">
        <v>131265</v>
      </c>
      <c r="E118" s="727">
        <v>359500</v>
      </c>
      <c r="F118" s="867">
        <f>E118/D118*100</f>
        <v>273.87346208052412</v>
      </c>
      <c r="G118" s="878"/>
    </row>
    <row r="119" spans="1:7" x14ac:dyDescent="0.2">
      <c r="A119" s="1527"/>
      <c r="B119" s="862" t="s">
        <v>102</v>
      </c>
      <c r="C119" s="727"/>
      <c r="D119" s="727"/>
      <c r="E119" s="727"/>
      <c r="F119" s="867"/>
      <c r="G119" s="878"/>
    </row>
    <row r="120" spans="1:7" ht="25.5" x14ac:dyDescent="0.2">
      <c r="A120" s="1527"/>
      <c r="B120" s="862" t="s">
        <v>97</v>
      </c>
      <c r="C120" s="727"/>
      <c r="D120" s="727"/>
      <c r="E120" s="727"/>
      <c r="F120" s="867"/>
      <c r="G120" s="878"/>
    </row>
    <row r="121" spans="1:7" x14ac:dyDescent="0.2">
      <c r="A121" s="1527"/>
      <c r="B121" s="862" t="s">
        <v>103</v>
      </c>
      <c r="C121" s="727"/>
      <c r="D121" s="727"/>
      <c r="E121" s="727"/>
      <c r="F121" s="867"/>
      <c r="G121" s="878"/>
    </row>
    <row r="122" spans="1:7" x14ac:dyDescent="0.2">
      <c r="A122" s="1527"/>
      <c r="B122" s="862" t="s">
        <v>92</v>
      </c>
      <c r="C122" s="727"/>
      <c r="D122" s="727"/>
      <c r="E122" s="727"/>
      <c r="F122" s="867"/>
      <c r="G122" s="878"/>
    </row>
    <row r="123" spans="1:7" x14ac:dyDescent="0.2">
      <c r="A123" s="1527"/>
      <c r="B123" s="862" t="s">
        <v>93</v>
      </c>
      <c r="C123" s="741"/>
      <c r="D123" s="741"/>
      <c r="E123" s="741"/>
      <c r="F123" s="867"/>
      <c r="G123" s="878"/>
    </row>
    <row r="124" spans="1:7" x14ac:dyDescent="0.2">
      <c r="A124" s="1527"/>
      <c r="B124" s="862" t="s">
        <v>94</v>
      </c>
      <c r="C124" s="741"/>
      <c r="D124" s="741"/>
      <c r="E124" s="741"/>
      <c r="F124" s="867"/>
      <c r="G124" s="878"/>
    </row>
    <row r="125" spans="1:7" ht="13.5" thickBot="1" x14ac:dyDescent="0.25">
      <c r="A125" s="1527"/>
      <c r="B125" s="863" t="s">
        <v>104</v>
      </c>
      <c r="C125" s="743"/>
      <c r="D125" s="743"/>
      <c r="E125" s="743"/>
      <c r="F125" s="868"/>
      <c r="G125" s="878"/>
    </row>
    <row r="126" spans="1:7" ht="13.5" thickBot="1" x14ac:dyDescent="0.25">
      <c r="A126" s="1527"/>
      <c r="B126" s="1007" t="s">
        <v>14</v>
      </c>
      <c r="C126" s="1144">
        <f>SUM(C116:C125)</f>
        <v>0</v>
      </c>
      <c r="D126" s="749">
        <f>SUM(D116:D125)</f>
        <v>131265</v>
      </c>
      <c r="E126" s="1344">
        <f>SUM(E116:E125)</f>
        <v>359500</v>
      </c>
      <c r="F126" s="1358">
        <f>E126/D126*100</f>
        <v>273.87346208052412</v>
      </c>
      <c r="G126" s="878"/>
    </row>
    <row r="127" spans="1:7" s="25" customFormat="1" x14ac:dyDescent="0.2">
      <c r="A127" s="1526" t="s">
        <v>432</v>
      </c>
      <c r="B127" s="1148" t="s">
        <v>88</v>
      </c>
      <c r="C127" s="1141"/>
      <c r="D127" s="1141"/>
      <c r="E127" s="1141"/>
      <c r="F127" s="1142"/>
      <c r="G127" s="879"/>
    </row>
    <row r="128" spans="1:7" s="25" customFormat="1" ht="25.5" x14ac:dyDescent="0.2">
      <c r="A128" s="1527"/>
      <c r="B128" s="862" t="s">
        <v>101</v>
      </c>
      <c r="C128" s="727"/>
      <c r="D128" s="727"/>
      <c r="E128" s="727"/>
      <c r="F128" s="867"/>
      <c r="G128" s="879"/>
    </row>
    <row r="129" spans="1:7" s="25" customFormat="1" x14ac:dyDescent="0.2">
      <c r="A129" s="1527"/>
      <c r="B129" s="862" t="s">
        <v>90</v>
      </c>
      <c r="C129" s="727">
        <v>15206000</v>
      </c>
      <c r="D129" s="727">
        <v>3967716</v>
      </c>
      <c r="E129" s="727">
        <v>3805716</v>
      </c>
      <c r="F129" s="867">
        <f>E129/D129*100</f>
        <v>95.917046482157502</v>
      </c>
      <c r="G129" s="879"/>
    </row>
    <row r="130" spans="1:7" s="25" customFormat="1" x14ac:dyDescent="0.2">
      <c r="A130" s="1527"/>
      <c r="B130" s="862" t="s">
        <v>102</v>
      </c>
      <c r="C130" s="727"/>
      <c r="D130" s="727"/>
      <c r="E130" s="727"/>
      <c r="F130" s="867"/>
      <c r="G130" s="879"/>
    </row>
    <row r="131" spans="1:7" s="25" customFormat="1" ht="25.5" x14ac:dyDescent="0.2">
      <c r="A131" s="1527"/>
      <c r="B131" s="862" t="s">
        <v>97</v>
      </c>
      <c r="C131" s="727">
        <v>3736712</v>
      </c>
      <c r="D131" s="727">
        <v>4956639</v>
      </c>
      <c r="E131" s="727">
        <v>4863485</v>
      </c>
      <c r="F131" s="867">
        <f>E131/D131*100</f>
        <v>98.120621655117517</v>
      </c>
      <c r="G131" s="879"/>
    </row>
    <row r="132" spans="1:7" s="25" customFormat="1" x14ac:dyDescent="0.2">
      <c r="A132" s="1527"/>
      <c r="B132" s="862" t="s">
        <v>103</v>
      </c>
      <c r="C132" s="727"/>
      <c r="D132" s="727"/>
      <c r="E132" s="727"/>
      <c r="F132" s="867"/>
      <c r="G132" s="879"/>
    </row>
    <row r="133" spans="1:7" s="25" customFormat="1" x14ac:dyDescent="0.2">
      <c r="A133" s="1527"/>
      <c r="B133" s="862" t="s">
        <v>92</v>
      </c>
      <c r="C133" s="727"/>
      <c r="D133" s="727"/>
      <c r="E133" s="727"/>
      <c r="F133" s="867"/>
      <c r="G133" s="879"/>
    </row>
    <row r="134" spans="1:7" s="25" customFormat="1" x14ac:dyDescent="0.2">
      <c r="A134" s="1527"/>
      <c r="B134" s="862" t="s">
        <v>93</v>
      </c>
      <c r="C134" s="741"/>
      <c r="D134" s="741"/>
      <c r="E134" s="741"/>
      <c r="F134" s="867"/>
      <c r="G134" s="879"/>
    </row>
    <row r="135" spans="1:7" s="25" customFormat="1" x14ac:dyDescent="0.2">
      <c r="A135" s="1527"/>
      <c r="B135" s="862" t="s">
        <v>94</v>
      </c>
      <c r="C135" s="741"/>
      <c r="D135" s="741"/>
      <c r="E135" s="741"/>
      <c r="F135" s="867"/>
      <c r="G135" s="879"/>
    </row>
    <row r="136" spans="1:7" s="25" customFormat="1" ht="13.5" thickBot="1" x14ac:dyDescent="0.25">
      <c r="A136" s="1527"/>
      <c r="B136" s="863" t="s">
        <v>104</v>
      </c>
      <c r="C136" s="743"/>
      <c r="D136" s="743"/>
      <c r="E136" s="743"/>
      <c r="F136" s="868"/>
      <c r="G136" s="879"/>
    </row>
    <row r="137" spans="1:7" s="25" customFormat="1" ht="13.5" thickBot="1" x14ac:dyDescent="0.25">
      <c r="A137" s="1527"/>
      <c r="B137" s="858" t="s">
        <v>14</v>
      </c>
      <c r="C137" s="749">
        <f>SUM(C127:C136)</f>
        <v>18942712</v>
      </c>
      <c r="D137" s="749">
        <f>SUM(D127:D136)</f>
        <v>8924355</v>
      </c>
      <c r="E137" s="749">
        <f>SUM(E127:E136)</f>
        <v>8669201</v>
      </c>
      <c r="F137" s="859">
        <f>E137/D137*100</f>
        <v>97.140925030436378</v>
      </c>
      <c r="G137" s="879"/>
    </row>
    <row r="138" spans="1:7" x14ac:dyDescent="0.2">
      <c r="A138" s="1526" t="s">
        <v>433</v>
      </c>
      <c r="B138" s="860" t="s">
        <v>88</v>
      </c>
      <c r="C138" s="853"/>
      <c r="D138" s="853"/>
      <c r="E138" s="853"/>
      <c r="F138" s="866"/>
      <c r="G138" s="24"/>
    </row>
    <row r="139" spans="1:7" ht="25.5" x14ac:dyDescent="0.2">
      <c r="A139" s="1527"/>
      <c r="B139" s="862" t="s">
        <v>101</v>
      </c>
      <c r="C139" s="727"/>
      <c r="D139" s="727"/>
      <c r="E139" s="727"/>
      <c r="F139" s="867"/>
      <c r="G139" s="24"/>
    </row>
    <row r="140" spans="1:7" x14ac:dyDescent="0.2">
      <c r="A140" s="1527"/>
      <c r="B140" s="862" t="s">
        <v>90</v>
      </c>
      <c r="C140" s="727"/>
      <c r="D140" s="727"/>
      <c r="E140" s="727"/>
      <c r="F140" s="867"/>
      <c r="G140" s="24"/>
    </row>
    <row r="141" spans="1:7" x14ac:dyDescent="0.2">
      <c r="A141" s="1527"/>
      <c r="B141" s="862" t="s">
        <v>102</v>
      </c>
      <c r="C141" s="727"/>
      <c r="D141" s="727"/>
      <c r="E141" s="727"/>
      <c r="F141" s="867"/>
      <c r="G141" s="24"/>
    </row>
    <row r="142" spans="1:7" ht="25.5" x14ac:dyDescent="0.2">
      <c r="A142" s="1527"/>
      <c r="B142" s="862" t="s">
        <v>97</v>
      </c>
      <c r="C142" s="727">
        <v>1955913</v>
      </c>
      <c r="D142" s="727">
        <v>1669647</v>
      </c>
      <c r="E142" s="727">
        <v>1619934</v>
      </c>
      <c r="F142" s="867">
        <f t="shared" ref="F142" si="4">E142/D142%</f>
        <v>97.022544286307223</v>
      </c>
      <c r="G142" s="24"/>
    </row>
    <row r="143" spans="1:7" x14ac:dyDescent="0.2">
      <c r="A143" s="1527"/>
      <c r="B143" s="862" t="s">
        <v>103</v>
      </c>
      <c r="C143" s="727"/>
      <c r="D143" s="727"/>
      <c r="E143" s="727"/>
      <c r="F143" s="867"/>
      <c r="G143" s="24"/>
    </row>
    <row r="144" spans="1:7" x14ac:dyDescent="0.2">
      <c r="A144" s="1527"/>
      <c r="B144" s="862" t="s">
        <v>92</v>
      </c>
      <c r="C144" s="727"/>
      <c r="D144" s="727"/>
      <c r="E144" s="727"/>
      <c r="F144" s="867"/>
      <c r="G144" s="24"/>
    </row>
    <row r="145" spans="1:7" x14ac:dyDescent="0.2">
      <c r="A145" s="1527"/>
      <c r="B145" s="862" t="s">
        <v>93</v>
      </c>
      <c r="C145" s="741"/>
      <c r="D145" s="741"/>
      <c r="E145" s="741"/>
      <c r="F145" s="867"/>
      <c r="G145" s="24"/>
    </row>
    <row r="146" spans="1:7" x14ac:dyDescent="0.2">
      <c r="A146" s="1527"/>
      <c r="B146" s="862" t="s">
        <v>94</v>
      </c>
      <c r="C146" s="741"/>
      <c r="D146" s="741"/>
      <c r="E146" s="741"/>
      <c r="F146" s="867"/>
      <c r="G146" s="24"/>
    </row>
    <row r="147" spans="1:7" ht="13.5" thickBot="1" x14ac:dyDescent="0.25">
      <c r="A147" s="1527"/>
      <c r="B147" s="863" t="s">
        <v>104</v>
      </c>
      <c r="C147" s="743"/>
      <c r="D147" s="743"/>
      <c r="E147" s="743"/>
      <c r="F147" s="864"/>
      <c r="G147" s="24"/>
    </row>
    <row r="148" spans="1:7" s="25" customFormat="1" ht="13.5" thickBot="1" x14ac:dyDescent="0.25">
      <c r="A148" s="1527"/>
      <c r="B148" s="858" t="s">
        <v>14</v>
      </c>
      <c r="C148" s="749">
        <f>SUM(C138:C147)</f>
        <v>1955913</v>
      </c>
      <c r="D148" s="749">
        <f>SUM(D138:D147)</f>
        <v>1669647</v>
      </c>
      <c r="E148" s="749">
        <f>SUM(E138:E147)</f>
        <v>1619934</v>
      </c>
      <c r="F148" s="859">
        <f>E148/D148*100</f>
        <v>97.022544286307223</v>
      </c>
      <c r="G148" s="879"/>
    </row>
    <row r="149" spans="1:7" x14ac:dyDescent="0.2">
      <c r="A149" s="1526" t="s">
        <v>582</v>
      </c>
      <c r="B149" s="860" t="s">
        <v>88</v>
      </c>
      <c r="C149" s="853"/>
      <c r="D149" s="853"/>
      <c r="E149" s="853"/>
      <c r="F149" s="866"/>
      <c r="G149" s="24"/>
    </row>
    <row r="150" spans="1:7" ht="25.5" x14ac:dyDescent="0.2">
      <c r="A150" s="1527"/>
      <c r="B150" s="862" t="s">
        <v>101</v>
      </c>
      <c r="C150" s="727"/>
      <c r="D150" s="727"/>
      <c r="E150" s="727"/>
      <c r="F150" s="867"/>
      <c r="G150" s="24"/>
    </row>
    <row r="151" spans="1:7" x14ac:dyDescent="0.2">
      <c r="A151" s="1527"/>
      <c r="B151" s="862" t="s">
        <v>90</v>
      </c>
      <c r="C151" s="727"/>
      <c r="D151" s="727"/>
      <c r="E151" s="727"/>
      <c r="F151" s="867"/>
      <c r="G151" s="24"/>
    </row>
    <row r="152" spans="1:7" x14ac:dyDescent="0.2">
      <c r="A152" s="1527"/>
      <c r="B152" s="862" t="s">
        <v>102</v>
      </c>
      <c r="C152" s="727"/>
      <c r="D152" s="727"/>
      <c r="E152" s="727"/>
      <c r="F152" s="867"/>
      <c r="G152" s="24"/>
    </row>
    <row r="153" spans="1:7" ht="25.5" x14ac:dyDescent="0.2">
      <c r="A153" s="1527"/>
      <c r="B153" s="862" t="s">
        <v>97</v>
      </c>
      <c r="C153" s="727"/>
      <c r="D153" s="727">
        <v>40000</v>
      </c>
      <c r="E153" s="727">
        <v>39000</v>
      </c>
      <c r="F153" s="867">
        <f>E153/D153*100</f>
        <v>97.5</v>
      </c>
      <c r="G153" s="24"/>
    </row>
    <row r="154" spans="1:7" x14ac:dyDescent="0.2">
      <c r="A154" s="1527"/>
      <c r="B154" s="862" t="s">
        <v>103</v>
      </c>
      <c r="C154" s="727"/>
      <c r="D154" s="727"/>
      <c r="E154" s="727"/>
      <c r="F154" s="867"/>
      <c r="G154" s="24"/>
    </row>
    <row r="155" spans="1:7" x14ac:dyDescent="0.2">
      <c r="A155" s="1527"/>
      <c r="B155" s="862" t="s">
        <v>92</v>
      </c>
      <c r="C155" s="727">
        <v>1390854858</v>
      </c>
      <c r="D155" s="727">
        <v>1390854858</v>
      </c>
      <c r="E155" s="727"/>
      <c r="F155" s="867"/>
      <c r="G155" s="24"/>
    </row>
    <row r="156" spans="1:7" x14ac:dyDescent="0.2">
      <c r="A156" s="1527"/>
      <c r="B156" s="862" t="s">
        <v>93</v>
      </c>
      <c r="C156" s="741"/>
      <c r="D156" s="741"/>
      <c r="E156" s="741"/>
      <c r="F156" s="867"/>
      <c r="G156" s="24"/>
    </row>
    <row r="157" spans="1:7" x14ac:dyDescent="0.2">
      <c r="A157" s="1527"/>
      <c r="B157" s="862" t="s">
        <v>94</v>
      </c>
      <c r="C157" s="741"/>
      <c r="D157" s="741"/>
      <c r="E157" s="741"/>
      <c r="F157" s="867"/>
      <c r="G157" s="24"/>
    </row>
    <row r="158" spans="1:7" ht="13.5" thickBot="1" x14ac:dyDescent="0.25">
      <c r="A158" s="1527"/>
      <c r="B158" s="863" t="s">
        <v>104</v>
      </c>
      <c r="C158" s="743"/>
      <c r="D158" s="743"/>
      <c r="E158" s="743"/>
      <c r="F158" s="868"/>
      <c r="G158" s="24"/>
    </row>
    <row r="159" spans="1:7" ht="13.5" thickBot="1" x14ac:dyDescent="0.25">
      <c r="A159" s="1527"/>
      <c r="B159" s="1007" t="s">
        <v>14</v>
      </c>
      <c r="C159" s="1144">
        <f>SUM(C149:C158)</f>
        <v>1390854858</v>
      </c>
      <c r="D159" s="749">
        <f>SUM(D149:D158)</f>
        <v>1390894858</v>
      </c>
      <c r="E159" s="749">
        <f>SUM(E149:E158)</f>
        <v>39000</v>
      </c>
      <c r="F159" s="859">
        <f t="shared" ref="F159" si="5">E159/D159*100</f>
        <v>2.8039502609190033E-3</v>
      </c>
      <c r="G159" s="24"/>
    </row>
    <row r="160" spans="1:7" ht="13.5" thickBot="1" x14ac:dyDescent="0.25">
      <c r="A160" s="870" t="s">
        <v>72</v>
      </c>
      <c r="B160" s="871" t="s">
        <v>24</v>
      </c>
      <c r="C160" s="872" t="s">
        <v>156</v>
      </c>
      <c r="D160" s="872" t="s">
        <v>148</v>
      </c>
      <c r="E160" s="872" t="s">
        <v>149</v>
      </c>
      <c r="F160" s="873" t="s">
        <v>150</v>
      </c>
      <c r="G160" s="24"/>
    </row>
    <row r="161" spans="1:7" x14ac:dyDescent="0.2">
      <c r="A161" s="1526" t="s">
        <v>578</v>
      </c>
      <c r="B161" s="860" t="s">
        <v>88</v>
      </c>
      <c r="C161" s="853"/>
      <c r="D161" s="853"/>
      <c r="E161" s="853"/>
      <c r="F161" s="866"/>
      <c r="G161" s="24"/>
    </row>
    <row r="162" spans="1:7" ht="25.5" x14ac:dyDescent="0.2">
      <c r="A162" s="1527"/>
      <c r="B162" s="862" t="s">
        <v>101</v>
      </c>
      <c r="C162" s="727"/>
      <c r="D162" s="727"/>
      <c r="E162" s="727"/>
      <c r="F162" s="867"/>
      <c r="G162" s="24"/>
    </row>
    <row r="163" spans="1:7" x14ac:dyDescent="0.2">
      <c r="A163" s="1527"/>
      <c r="B163" s="862" t="s">
        <v>90</v>
      </c>
      <c r="C163" s="727"/>
      <c r="D163" s="727">
        <v>168580</v>
      </c>
      <c r="E163" s="727">
        <v>168580</v>
      </c>
      <c r="F163" s="867">
        <f>E163/D163*100</f>
        <v>100</v>
      </c>
      <c r="G163" s="24"/>
    </row>
    <row r="164" spans="1:7" x14ac:dyDescent="0.2">
      <c r="A164" s="1527"/>
      <c r="B164" s="862" t="s">
        <v>102</v>
      </c>
      <c r="C164" s="727"/>
      <c r="D164" s="727"/>
      <c r="E164" s="727"/>
      <c r="F164" s="867"/>
      <c r="G164" s="24"/>
    </row>
    <row r="165" spans="1:7" ht="25.5" x14ac:dyDescent="0.2">
      <c r="A165" s="1527"/>
      <c r="B165" s="862" t="s">
        <v>97</v>
      </c>
      <c r="C165" s="727"/>
      <c r="D165" s="727"/>
      <c r="E165" s="727"/>
      <c r="F165" s="867"/>
      <c r="G165" s="24"/>
    </row>
    <row r="166" spans="1:7" x14ac:dyDescent="0.2">
      <c r="A166" s="1527"/>
      <c r="B166" s="862" t="s">
        <v>103</v>
      </c>
      <c r="C166" s="727"/>
      <c r="D166" s="727"/>
      <c r="E166" s="727"/>
      <c r="F166" s="867"/>
      <c r="G166" s="24"/>
    </row>
    <row r="167" spans="1:7" x14ac:dyDescent="0.2">
      <c r="A167" s="1527"/>
      <c r="B167" s="862" t="s">
        <v>92</v>
      </c>
      <c r="C167" s="727"/>
      <c r="D167" s="727">
        <v>15020</v>
      </c>
      <c r="E167" s="727">
        <v>15020</v>
      </c>
      <c r="F167" s="867">
        <f>E167/D167*100</f>
        <v>100</v>
      </c>
      <c r="G167" s="24"/>
    </row>
    <row r="168" spans="1:7" x14ac:dyDescent="0.2">
      <c r="A168" s="1527"/>
      <c r="B168" s="862" t="s">
        <v>93</v>
      </c>
      <c r="C168" s="741"/>
      <c r="D168" s="741"/>
      <c r="E168" s="741"/>
      <c r="F168" s="867"/>
      <c r="G168" s="24"/>
    </row>
    <row r="169" spans="1:7" x14ac:dyDescent="0.2">
      <c r="A169" s="1527"/>
      <c r="B169" s="862" t="s">
        <v>94</v>
      </c>
      <c r="C169" s="741"/>
      <c r="D169" s="741"/>
      <c r="E169" s="741"/>
      <c r="F169" s="867"/>
      <c r="G169" s="24"/>
    </row>
    <row r="170" spans="1:7" ht="13.5" thickBot="1" x14ac:dyDescent="0.25">
      <c r="A170" s="1527"/>
      <c r="B170" s="863" t="s">
        <v>104</v>
      </c>
      <c r="C170" s="743"/>
      <c r="D170" s="743"/>
      <c r="E170" s="743"/>
      <c r="F170" s="868"/>
      <c r="G170" s="24"/>
    </row>
    <row r="171" spans="1:7" ht="13.5" thickBot="1" x14ac:dyDescent="0.25">
      <c r="A171" s="1527"/>
      <c r="B171" s="858" t="s">
        <v>14</v>
      </c>
      <c r="C171" s="749">
        <f>SUM(C161:C170)</f>
        <v>0</v>
      </c>
      <c r="D171" s="749">
        <f>SUM(D161:D170)</f>
        <v>183600</v>
      </c>
      <c r="E171" s="749">
        <f>SUM(E161:E170)</f>
        <v>183600</v>
      </c>
      <c r="F171" s="859">
        <f>E171/D171*100</f>
        <v>100</v>
      </c>
      <c r="G171" s="24"/>
    </row>
    <row r="172" spans="1:7" x14ac:dyDescent="0.2">
      <c r="A172" s="1526" t="s">
        <v>105</v>
      </c>
      <c r="B172" s="860" t="s">
        <v>88</v>
      </c>
      <c r="C172" s="853"/>
      <c r="D172" s="853"/>
      <c r="E172" s="853"/>
      <c r="F172" s="866"/>
      <c r="G172" s="24"/>
    </row>
    <row r="173" spans="1:7" ht="25.5" x14ac:dyDescent="0.2">
      <c r="A173" s="1527"/>
      <c r="B173" s="862" t="s">
        <v>101</v>
      </c>
      <c r="C173" s="727"/>
      <c r="D173" s="727"/>
      <c r="E173" s="727"/>
      <c r="F173" s="867"/>
      <c r="G173" s="24"/>
    </row>
    <row r="174" spans="1:7" x14ac:dyDescent="0.2">
      <c r="A174" s="1527"/>
      <c r="B174" s="862" t="s">
        <v>90</v>
      </c>
      <c r="C174" s="727">
        <v>15148510</v>
      </c>
      <c r="D174" s="727">
        <v>14426259</v>
      </c>
      <c r="E174" s="727">
        <v>14426259</v>
      </c>
      <c r="F174" s="867">
        <f>E174/D174*100</f>
        <v>100</v>
      </c>
      <c r="G174" s="24"/>
    </row>
    <row r="175" spans="1:7" x14ac:dyDescent="0.2">
      <c r="A175" s="1527"/>
      <c r="B175" s="862" t="s">
        <v>102</v>
      </c>
      <c r="C175" s="727"/>
      <c r="D175" s="727"/>
      <c r="E175" s="727"/>
      <c r="F175" s="867"/>
      <c r="G175" s="24"/>
    </row>
    <row r="176" spans="1:7" ht="25.5" x14ac:dyDescent="0.2">
      <c r="A176" s="1527"/>
      <c r="B176" s="862" t="s">
        <v>97</v>
      </c>
      <c r="C176" s="727">
        <v>488675</v>
      </c>
      <c r="D176" s="727">
        <v>451238</v>
      </c>
      <c r="E176" s="727">
        <v>451238</v>
      </c>
      <c r="F176" s="867">
        <f>E176/D176*100</f>
        <v>100</v>
      </c>
      <c r="G176" s="24"/>
    </row>
    <row r="177" spans="1:7" x14ac:dyDescent="0.2">
      <c r="A177" s="1527"/>
      <c r="B177" s="862" t="s">
        <v>103</v>
      </c>
      <c r="C177" s="727"/>
      <c r="D177" s="727"/>
      <c r="E177" s="727"/>
      <c r="F177" s="867"/>
      <c r="G177" s="24"/>
    </row>
    <row r="178" spans="1:7" x14ac:dyDescent="0.2">
      <c r="A178" s="1527"/>
      <c r="B178" s="862" t="s">
        <v>92</v>
      </c>
      <c r="C178" s="727"/>
      <c r="D178" s="727"/>
      <c r="E178" s="727"/>
      <c r="F178" s="867"/>
      <c r="G178" s="24"/>
    </row>
    <row r="179" spans="1:7" x14ac:dyDescent="0.2">
      <c r="A179" s="1527"/>
      <c r="B179" s="862" t="s">
        <v>93</v>
      </c>
      <c r="C179" s="741"/>
      <c r="D179" s="741"/>
      <c r="E179" s="741"/>
      <c r="F179" s="867"/>
      <c r="G179" s="24"/>
    </row>
    <row r="180" spans="1:7" x14ac:dyDescent="0.2">
      <c r="A180" s="1527"/>
      <c r="B180" s="862" t="s">
        <v>94</v>
      </c>
      <c r="C180" s="741"/>
      <c r="D180" s="741"/>
      <c r="E180" s="741"/>
      <c r="F180" s="867"/>
      <c r="G180" s="24"/>
    </row>
    <row r="181" spans="1:7" ht="13.5" thickBot="1" x14ac:dyDescent="0.25">
      <c r="A181" s="1527"/>
      <c r="B181" s="863" t="s">
        <v>104</v>
      </c>
      <c r="C181" s="743"/>
      <c r="D181" s="743"/>
      <c r="E181" s="743"/>
      <c r="F181" s="868"/>
      <c r="G181" s="24"/>
    </row>
    <row r="182" spans="1:7" ht="13.5" thickBot="1" x14ac:dyDescent="0.25">
      <c r="A182" s="1527"/>
      <c r="B182" s="1140" t="s">
        <v>14</v>
      </c>
      <c r="C182" s="1134">
        <f>SUM(C172:C181)</f>
        <v>15637185</v>
      </c>
      <c r="D182" s="1134">
        <f>SUM(D172:D181)</f>
        <v>14877497</v>
      </c>
      <c r="E182" s="1134">
        <f>SUM(E172:E181)</f>
        <v>14877497</v>
      </c>
      <c r="F182" s="1000">
        <f>E182/D182*100</f>
        <v>100</v>
      </c>
      <c r="G182" s="24"/>
    </row>
    <row r="183" spans="1:7" x14ac:dyDescent="0.2">
      <c r="A183" s="1526" t="s">
        <v>434</v>
      </c>
      <c r="B183" s="860" t="s">
        <v>88</v>
      </c>
      <c r="C183" s="880">
        <v>2346100</v>
      </c>
      <c r="D183" s="880">
        <v>2346200</v>
      </c>
      <c r="E183" s="998">
        <v>3315338</v>
      </c>
      <c r="F183" s="866">
        <f>E183/D183*100</f>
        <v>141.30670872048418</v>
      </c>
      <c r="G183" s="24"/>
    </row>
    <row r="184" spans="1:7" ht="25.5" x14ac:dyDescent="0.2">
      <c r="A184" s="1527"/>
      <c r="B184" s="862" t="s">
        <v>101</v>
      </c>
      <c r="C184" s="881">
        <v>462000</v>
      </c>
      <c r="D184" s="881">
        <v>462000</v>
      </c>
      <c r="E184" s="999">
        <v>765416</v>
      </c>
      <c r="F184" s="867">
        <f t="shared" ref="F184:F189" si="6">E184/D184*100</f>
        <v>165.67445887445888</v>
      </c>
      <c r="G184" s="24"/>
    </row>
    <row r="185" spans="1:7" x14ac:dyDescent="0.2">
      <c r="A185" s="1527"/>
      <c r="B185" s="862" t="s">
        <v>90</v>
      </c>
      <c r="C185" s="881">
        <v>10795000</v>
      </c>
      <c r="D185" s="881">
        <v>8530462</v>
      </c>
      <c r="E185" s="999">
        <v>8514130</v>
      </c>
      <c r="F185" s="867">
        <f t="shared" si="6"/>
        <v>99.808544953368298</v>
      </c>
      <c r="G185" s="24"/>
    </row>
    <row r="186" spans="1:7" x14ac:dyDescent="0.2">
      <c r="A186" s="1527"/>
      <c r="B186" s="862" t="s">
        <v>102</v>
      </c>
      <c r="C186" s="881"/>
      <c r="D186" s="881"/>
      <c r="E186" s="999"/>
      <c r="F186" s="867"/>
      <c r="G186" s="24"/>
    </row>
    <row r="187" spans="1:7" ht="25.5" x14ac:dyDescent="0.2">
      <c r="A187" s="1527"/>
      <c r="B187" s="862" t="s">
        <v>97</v>
      </c>
      <c r="C187" s="881">
        <v>4871899</v>
      </c>
      <c r="D187" s="881">
        <v>4632076</v>
      </c>
      <c r="E187" s="999">
        <v>4623160</v>
      </c>
      <c r="F187" s="867">
        <f t="shared" si="6"/>
        <v>99.807516111566386</v>
      </c>
      <c r="G187" s="24"/>
    </row>
    <row r="188" spans="1:7" x14ac:dyDescent="0.2">
      <c r="A188" s="1527"/>
      <c r="B188" s="862" t="s">
        <v>103</v>
      </c>
      <c r="C188" s="881"/>
      <c r="D188" s="881"/>
      <c r="E188" s="999"/>
      <c r="F188" s="867"/>
      <c r="G188" s="24"/>
    </row>
    <row r="189" spans="1:7" x14ac:dyDescent="0.2">
      <c r="A189" s="1527"/>
      <c r="B189" s="862" t="s">
        <v>92</v>
      </c>
      <c r="C189" s="881">
        <v>27370000</v>
      </c>
      <c r="D189" s="881">
        <v>27761000</v>
      </c>
      <c r="E189" s="999">
        <v>8332036</v>
      </c>
      <c r="F189" s="867">
        <f t="shared" si="6"/>
        <v>30.013457728467998</v>
      </c>
      <c r="G189" s="24"/>
    </row>
    <row r="190" spans="1:7" x14ac:dyDescent="0.2">
      <c r="A190" s="1527"/>
      <c r="B190" s="862" t="s">
        <v>93</v>
      </c>
      <c r="C190" s="845"/>
      <c r="D190" s="845"/>
      <c r="E190" s="999"/>
      <c r="F190" s="867"/>
      <c r="G190" s="24"/>
    </row>
    <row r="191" spans="1:7" x14ac:dyDescent="0.2">
      <c r="A191" s="1527"/>
      <c r="B191" s="862" t="s">
        <v>94</v>
      </c>
      <c r="C191" s="845"/>
      <c r="D191" s="845"/>
      <c r="E191" s="999"/>
      <c r="F191" s="867"/>
      <c r="G191" s="24"/>
    </row>
    <row r="192" spans="1:7" ht="13.5" thickBot="1" x14ac:dyDescent="0.25">
      <c r="A192" s="1527"/>
      <c r="B192" s="1131" t="s">
        <v>104</v>
      </c>
      <c r="C192" s="1351"/>
      <c r="D192" s="1351"/>
      <c r="E192" s="1352"/>
      <c r="F192" s="1353"/>
      <c r="G192" s="24"/>
    </row>
    <row r="193" spans="1:7" ht="13.5" thickBot="1" x14ac:dyDescent="0.25">
      <c r="A193" s="1527"/>
      <c r="B193" s="1354" t="s">
        <v>14</v>
      </c>
      <c r="C193" s="1355">
        <f>SUM(C183:C192)</f>
        <v>45844999</v>
      </c>
      <c r="D193" s="1355">
        <f>SUM(D183:D192)</f>
        <v>43731738</v>
      </c>
      <c r="E193" s="1355">
        <f>SUM(E183:E192)</f>
        <v>25550080</v>
      </c>
      <c r="F193" s="1356">
        <f>E193/D193*100</f>
        <v>58.42457027433943</v>
      </c>
      <c r="G193" s="24"/>
    </row>
    <row r="194" spans="1:7" x14ac:dyDescent="0.2">
      <c r="A194" s="1526" t="s">
        <v>107</v>
      </c>
      <c r="B194" s="860" t="s">
        <v>88</v>
      </c>
      <c r="C194" s="853">
        <v>480000</v>
      </c>
      <c r="D194" s="853">
        <v>480000</v>
      </c>
      <c r="E194" s="853">
        <v>475000</v>
      </c>
      <c r="F194" s="866">
        <f>E194/D194*100</f>
        <v>98.958333333333343</v>
      </c>
      <c r="G194" s="24"/>
    </row>
    <row r="195" spans="1:7" ht="25.5" x14ac:dyDescent="0.2">
      <c r="A195" s="1527"/>
      <c r="B195" s="862" t="s">
        <v>101</v>
      </c>
      <c r="C195" s="727">
        <v>85200</v>
      </c>
      <c r="D195" s="727">
        <v>85200</v>
      </c>
      <c r="E195" s="727">
        <v>127884</v>
      </c>
      <c r="F195" s="867">
        <f>E195/D195*100</f>
        <v>150.09859154929578</v>
      </c>
      <c r="G195" s="24"/>
    </row>
    <row r="196" spans="1:7" x14ac:dyDescent="0.2">
      <c r="A196" s="1527"/>
      <c r="B196" s="862" t="s">
        <v>90</v>
      </c>
      <c r="C196" s="727">
        <v>304000</v>
      </c>
      <c r="D196" s="727">
        <v>1253282</v>
      </c>
      <c r="E196" s="727">
        <v>1701668</v>
      </c>
      <c r="F196" s="867">
        <f>E196/D196*100</f>
        <v>135.77694405568738</v>
      </c>
      <c r="G196" s="24"/>
    </row>
    <row r="197" spans="1:7" x14ac:dyDescent="0.2">
      <c r="A197" s="1527"/>
      <c r="B197" s="862" t="s">
        <v>102</v>
      </c>
      <c r="C197" s="727"/>
      <c r="D197" s="727"/>
      <c r="E197" s="727"/>
      <c r="F197" s="867"/>
      <c r="G197" s="24"/>
    </row>
    <row r="198" spans="1:7" ht="25.5" x14ac:dyDescent="0.2">
      <c r="A198" s="1527"/>
      <c r="B198" s="862" t="s">
        <v>97</v>
      </c>
      <c r="C198" s="727"/>
      <c r="D198" s="727"/>
      <c r="E198" s="727"/>
      <c r="F198" s="867"/>
      <c r="G198" s="24"/>
    </row>
    <row r="199" spans="1:7" x14ac:dyDescent="0.2">
      <c r="A199" s="1527"/>
      <c r="B199" s="862" t="s">
        <v>103</v>
      </c>
      <c r="C199" s="727"/>
      <c r="D199" s="727"/>
      <c r="E199" s="727"/>
      <c r="F199" s="867"/>
      <c r="G199" s="24"/>
    </row>
    <row r="200" spans="1:7" x14ac:dyDescent="0.2">
      <c r="A200" s="1527"/>
      <c r="B200" s="862" t="s">
        <v>92</v>
      </c>
      <c r="C200" s="727"/>
      <c r="D200" s="727"/>
      <c r="E200" s="727"/>
      <c r="F200" s="867"/>
      <c r="G200" s="24"/>
    </row>
    <row r="201" spans="1:7" x14ac:dyDescent="0.2">
      <c r="A201" s="1527"/>
      <c r="B201" s="862" t="s">
        <v>93</v>
      </c>
      <c r="C201" s="741"/>
      <c r="D201" s="741"/>
      <c r="E201" s="741"/>
      <c r="F201" s="867"/>
      <c r="G201" s="24"/>
    </row>
    <row r="202" spans="1:7" x14ac:dyDescent="0.2">
      <c r="A202" s="1527"/>
      <c r="B202" s="862" t="s">
        <v>94</v>
      </c>
      <c r="C202" s="741"/>
      <c r="D202" s="741"/>
      <c r="E202" s="741"/>
      <c r="F202" s="867"/>
      <c r="G202" s="24"/>
    </row>
    <row r="203" spans="1:7" x14ac:dyDescent="0.2">
      <c r="A203" s="1527"/>
      <c r="B203" s="862" t="s">
        <v>104</v>
      </c>
      <c r="C203" s="741"/>
      <c r="D203" s="741"/>
      <c r="E203" s="741"/>
      <c r="F203" s="867"/>
      <c r="G203" s="24"/>
    </row>
    <row r="204" spans="1:7" ht="13.5" thickBot="1" x14ac:dyDescent="0.25">
      <c r="A204" s="1527"/>
      <c r="B204" s="1359" t="s">
        <v>14</v>
      </c>
      <c r="C204" s="1143">
        <f>SUM(C194:C203)</f>
        <v>869200</v>
      </c>
      <c r="D204" s="1143">
        <f>SUM(D194:D203)</f>
        <v>1818482</v>
      </c>
      <c r="E204" s="1143">
        <f>SUM(E194:E203)</f>
        <v>2304552</v>
      </c>
      <c r="F204" s="864">
        <f>E204/D204*100</f>
        <v>126.72943696995627</v>
      </c>
      <c r="G204" s="24"/>
    </row>
    <row r="205" spans="1:7" x14ac:dyDescent="0.2">
      <c r="A205" s="1526" t="s">
        <v>108</v>
      </c>
      <c r="B205" s="860" t="s">
        <v>88</v>
      </c>
      <c r="C205" s="853"/>
      <c r="D205" s="853"/>
      <c r="E205" s="853"/>
      <c r="F205" s="866"/>
      <c r="G205" s="24"/>
    </row>
    <row r="206" spans="1:7" ht="25.5" x14ac:dyDescent="0.2">
      <c r="A206" s="1527"/>
      <c r="B206" s="862" t="s">
        <v>101</v>
      </c>
      <c r="C206" s="727"/>
      <c r="D206" s="727"/>
      <c r="E206" s="727"/>
      <c r="F206" s="867"/>
      <c r="G206" s="24"/>
    </row>
    <row r="207" spans="1:7" x14ac:dyDescent="0.2">
      <c r="A207" s="1527"/>
      <c r="B207" s="862" t="s">
        <v>90</v>
      </c>
      <c r="C207" s="727"/>
      <c r="D207" s="727"/>
      <c r="E207" s="727"/>
      <c r="F207" s="867"/>
      <c r="G207" s="24"/>
    </row>
    <row r="208" spans="1:7" x14ac:dyDescent="0.2">
      <c r="A208" s="1527"/>
      <c r="B208" s="862" t="s">
        <v>102</v>
      </c>
      <c r="C208" s="727"/>
      <c r="D208" s="727"/>
      <c r="E208" s="727"/>
      <c r="F208" s="867"/>
      <c r="G208" s="24"/>
    </row>
    <row r="209" spans="1:7" ht="25.5" x14ac:dyDescent="0.2">
      <c r="A209" s="1527"/>
      <c r="B209" s="862" t="s">
        <v>97</v>
      </c>
      <c r="C209" s="727">
        <v>9676437</v>
      </c>
      <c r="D209" s="727">
        <v>7654428</v>
      </c>
      <c r="E209" s="727">
        <v>7634500</v>
      </c>
      <c r="F209" s="867">
        <f>E209/D209*100</f>
        <v>99.739653962386228</v>
      </c>
      <c r="G209" s="24"/>
    </row>
    <row r="210" spans="1:7" x14ac:dyDescent="0.2">
      <c r="A210" s="1527"/>
      <c r="B210" s="862" t="s">
        <v>103</v>
      </c>
      <c r="C210" s="727"/>
      <c r="D210" s="727"/>
      <c r="E210" s="727"/>
      <c r="F210" s="867"/>
      <c r="G210" s="24"/>
    </row>
    <row r="211" spans="1:7" x14ac:dyDescent="0.2">
      <c r="A211" s="1527"/>
      <c r="B211" s="862" t="s">
        <v>92</v>
      </c>
      <c r="C211" s="727"/>
      <c r="D211" s="727"/>
      <c r="E211" s="727"/>
      <c r="F211" s="867"/>
      <c r="G211" s="24"/>
    </row>
    <row r="212" spans="1:7" x14ac:dyDescent="0.2">
      <c r="A212" s="1527"/>
      <c r="B212" s="862" t="s">
        <v>93</v>
      </c>
      <c r="C212" s="741"/>
      <c r="D212" s="741"/>
      <c r="E212" s="741"/>
      <c r="F212" s="867"/>
      <c r="G212" s="24"/>
    </row>
    <row r="213" spans="1:7" x14ac:dyDescent="0.2">
      <c r="A213" s="1527"/>
      <c r="B213" s="862" t="s">
        <v>94</v>
      </c>
      <c r="C213" s="741"/>
      <c r="D213" s="741"/>
      <c r="E213" s="741"/>
      <c r="F213" s="867"/>
      <c r="G213" s="24"/>
    </row>
    <row r="214" spans="1:7" ht="13.5" thickBot="1" x14ac:dyDescent="0.25">
      <c r="A214" s="1527"/>
      <c r="B214" s="1131" t="s">
        <v>104</v>
      </c>
      <c r="C214" s="1351"/>
      <c r="D214" s="1351"/>
      <c r="E214" s="1351"/>
      <c r="F214" s="1353"/>
      <c r="G214" s="24"/>
    </row>
    <row r="215" spans="1:7" ht="13.5" thickBot="1" x14ac:dyDescent="0.25">
      <c r="A215" s="1527"/>
      <c r="B215" s="1348" t="s">
        <v>14</v>
      </c>
      <c r="C215" s="1349">
        <f>SUM(C205:C214)</f>
        <v>9676437</v>
      </c>
      <c r="D215" s="1349">
        <f>SUM(D205:D214)</f>
        <v>7654428</v>
      </c>
      <c r="E215" s="1349">
        <f>SUM(E205:E214)</f>
        <v>7634500</v>
      </c>
      <c r="F215" s="1350">
        <f>E215/D215*100</f>
        <v>99.739653962386228</v>
      </c>
      <c r="G215" s="24"/>
    </row>
    <row r="216" spans="1:7" x14ac:dyDescent="0.2">
      <c r="A216" s="1526" t="s">
        <v>163</v>
      </c>
      <c r="B216" s="860" t="s">
        <v>88</v>
      </c>
      <c r="C216" s="853"/>
      <c r="D216" s="853"/>
      <c r="E216" s="853"/>
      <c r="F216" s="866"/>
      <c r="G216" s="24"/>
    </row>
    <row r="217" spans="1:7" ht="25.5" x14ac:dyDescent="0.2">
      <c r="A217" s="1527"/>
      <c r="B217" s="862" t="s">
        <v>101</v>
      </c>
      <c r="C217" s="727"/>
      <c r="D217" s="727"/>
      <c r="E217" s="727"/>
      <c r="F217" s="867"/>
      <c r="G217" s="24"/>
    </row>
    <row r="218" spans="1:7" x14ac:dyDescent="0.2">
      <c r="A218" s="1527"/>
      <c r="B218" s="862" t="s">
        <v>90</v>
      </c>
      <c r="C218" s="727">
        <v>2530100</v>
      </c>
      <c r="D218" s="727">
        <v>15632839</v>
      </c>
      <c r="E218" s="727">
        <v>15668892</v>
      </c>
      <c r="F218" s="867">
        <f>E218/D218*100</f>
        <v>100.230623497114</v>
      </c>
      <c r="G218" s="24"/>
    </row>
    <row r="219" spans="1:7" x14ac:dyDescent="0.2">
      <c r="A219" s="1527"/>
      <c r="B219" s="862" t="s">
        <v>102</v>
      </c>
      <c r="C219" s="727"/>
      <c r="D219" s="727"/>
      <c r="E219" s="727"/>
      <c r="F219" s="867"/>
      <c r="G219" s="24"/>
    </row>
    <row r="220" spans="1:7" ht="25.5" x14ac:dyDescent="0.2">
      <c r="A220" s="1527"/>
      <c r="B220" s="862" t="s">
        <v>97</v>
      </c>
      <c r="C220" s="727">
        <v>1043487</v>
      </c>
      <c r="D220" s="727">
        <v>930809</v>
      </c>
      <c r="E220" s="727">
        <v>930809</v>
      </c>
      <c r="F220" s="867">
        <f>E220/D220*100</f>
        <v>100</v>
      </c>
      <c r="G220" s="24"/>
    </row>
    <row r="221" spans="1:7" x14ac:dyDescent="0.2">
      <c r="A221" s="1527"/>
      <c r="B221" s="862" t="s">
        <v>103</v>
      </c>
      <c r="C221" s="727"/>
      <c r="D221" s="727"/>
      <c r="E221" s="727"/>
      <c r="F221" s="867"/>
      <c r="G221" s="24"/>
    </row>
    <row r="222" spans="1:7" x14ac:dyDescent="0.2">
      <c r="A222" s="1527"/>
      <c r="B222" s="862" t="s">
        <v>92</v>
      </c>
      <c r="C222" s="727"/>
      <c r="D222" s="727"/>
      <c r="E222" s="727"/>
      <c r="F222" s="867"/>
      <c r="G222" s="24"/>
    </row>
    <row r="223" spans="1:7" x14ac:dyDescent="0.2">
      <c r="A223" s="1527"/>
      <c r="B223" s="862" t="s">
        <v>93</v>
      </c>
      <c r="C223" s="741"/>
      <c r="D223" s="741"/>
      <c r="E223" s="741"/>
      <c r="F223" s="867"/>
      <c r="G223" s="24"/>
    </row>
    <row r="224" spans="1:7" x14ac:dyDescent="0.2">
      <c r="A224" s="1527"/>
      <c r="B224" s="862" t="s">
        <v>94</v>
      </c>
      <c r="C224" s="741"/>
      <c r="D224" s="741"/>
      <c r="E224" s="741"/>
      <c r="F224" s="867"/>
      <c r="G224" s="24"/>
    </row>
    <row r="225" spans="1:7" ht="13.5" thickBot="1" x14ac:dyDescent="0.25">
      <c r="A225" s="1527"/>
      <c r="B225" s="863" t="s">
        <v>104</v>
      </c>
      <c r="C225" s="743"/>
      <c r="D225" s="743"/>
      <c r="E225" s="743"/>
      <c r="F225" s="868"/>
      <c r="G225" s="24"/>
    </row>
    <row r="226" spans="1:7" ht="13.5" thickBot="1" x14ac:dyDescent="0.25">
      <c r="A226" s="1527"/>
      <c r="B226" s="858" t="s">
        <v>14</v>
      </c>
      <c r="C226" s="749">
        <f>SUM(C216:C225)</f>
        <v>3573587</v>
      </c>
      <c r="D226" s="749">
        <f>SUM(D216:D225)</f>
        <v>16563648</v>
      </c>
      <c r="E226" s="749">
        <f>SUM(E216:E225)</f>
        <v>16599701</v>
      </c>
      <c r="F226" s="859">
        <f>E226/D226*100</f>
        <v>100.21766340361738</v>
      </c>
      <c r="G226" s="24"/>
    </row>
    <row r="227" spans="1:7" x14ac:dyDescent="0.2">
      <c r="A227" s="1526" t="s">
        <v>109</v>
      </c>
      <c r="B227" s="860" t="s">
        <v>88</v>
      </c>
      <c r="C227" s="853"/>
      <c r="D227" s="853"/>
      <c r="E227" s="853"/>
      <c r="F227" s="861"/>
      <c r="G227" s="24"/>
    </row>
    <row r="228" spans="1:7" ht="25.5" x14ac:dyDescent="0.2">
      <c r="A228" s="1527"/>
      <c r="B228" s="862" t="s">
        <v>101</v>
      </c>
      <c r="C228" s="727"/>
      <c r="D228" s="727"/>
      <c r="E228" s="727"/>
      <c r="F228" s="854"/>
      <c r="G228" s="24"/>
    </row>
    <row r="229" spans="1:7" x14ac:dyDescent="0.2">
      <c r="A229" s="1527"/>
      <c r="B229" s="862" t="s">
        <v>90</v>
      </c>
      <c r="C229" s="727">
        <v>279400</v>
      </c>
      <c r="D229" s="727"/>
      <c r="E229" s="727"/>
      <c r="F229" s="854"/>
      <c r="G229" s="24"/>
    </row>
    <row r="230" spans="1:7" x14ac:dyDescent="0.2">
      <c r="A230" s="1527"/>
      <c r="B230" s="862" t="s">
        <v>102</v>
      </c>
      <c r="C230" s="727"/>
      <c r="D230" s="727"/>
      <c r="E230" s="727"/>
      <c r="F230" s="854"/>
      <c r="G230" s="24"/>
    </row>
    <row r="231" spans="1:7" ht="25.5" x14ac:dyDescent="0.2">
      <c r="A231" s="1527"/>
      <c r="B231" s="862" t="s">
        <v>97</v>
      </c>
      <c r="C231" s="727"/>
      <c r="D231" s="727"/>
      <c r="E231" s="727"/>
      <c r="F231" s="854"/>
      <c r="G231" s="24"/>
    </row>
    <row r="232" spans="1:7" x14ac:dyDescent="0.2">
      <c r="A232" s="1527"/>
      <c r="B232" s="862" t="s">
        <v>103</v>
      </c>
      <c r="C232" s="727"/>
      <c r="D232" s="727"/>
      <c r="E232" s="727"/>
      <c r="F232" s="854"/>
      <c r="G232" s="24"/>
    </row>
    <row r="233" spans="1:7" x14ac:dyDescent="0.2">
      <c r="A233" s="1527"/>
      <c r="B233" s="862" t="s">
        <v>92</v>
      </c>
      <c r="C233" s="727"/>
      <c r="D233" s="727"/>
      <c r="E233" s="727"/>
      <c r="F233" s="854"/>
      <c r="G233" s="24"/>
    </row>
    <row r="234" spans="1:7" x14ac:dyDescent="0.2">
      <c r="A234" s="1527"/>
      <c r="B234" s="862" t="s">
        <v>93</v>
      </c>
      <c r="C234" s="741"/>
      <c r="D234" s="741"/>
      <c r="E234" s="741"/>
      <c r="F234" s="854"/>
      <c r="G234" s="24"/>
    </row>
    <row r="235" spans="1:7" x14ac:dyDescent="0.2">
      <c r="A235" s="1527"/>
      <c r="B235" s="862" t="s">
        <v>94</v>
      </c>
      <c r="C235" s="741"/>
      <c r="D235" s="741"/>
      <c r="E235" s="741"/>
      <c r="F235" s="854"/>
      <c r="G235" s="24"/>
    </row>
    <row r="236" spans="1:7" ht="13.5" thickBot="1" x14ac:dyDescent="0.25">
      <c r="A236" s="1527"/>
      <c r="B236" s="863" t="s">
        <v>104</v>
      </c>
      <c r="C236" s="743"/>
      <c r="D236" s="743"/>
      <c r="E236" s="743"/>
      <c r="F236" s="864"/>
      <c r="G236" s="24"/>
    </row>
    <row r="237" spans="1:7" ht="13.5" thickBot="1" x14ac:dyDescent="0.25">
      <c r="A237" s="1527"/>
      <c r="B237" s="858" t="s">
        <v>14</v>
      </c>
      <c r="C237" s="749">
        <f>SUM(C227:C236)</f>
        <v>279400</v>
      </c>
      <c r="D237" s="749">
        <f>SUM(D227:D236)</f>
        <v>0</v>
      </c>
      <c r="E237" s="749">
        <f>SUM(E227:E236)</f>
        <v>0</v>
      </c>
      <c r="F237" s="859"/>
      <c r="G237" s="24"/>
    </row>
    <row r="238" spans="1:7" x14ac:dyDescent="0.2">
      <c r="A238" s="1526" t="s">
        <v>312</v>
      </c>
      <c r="B238" s="860" t="s">
        <v>88</v>
      </c>
      <c r="C238" s="853"/>
      <c r="D238" s="853"/>
      <c r="E238" s="853"/>
      <c r="F238" s="866"/>
      <c r="G238" s="24"/>
    </row>
    <row r="239" spans="1:7" ht="25.5" x14ac:dyDescent="0.2">
      <c r="A239" s="1527"/>
      <c r="B239" s="862" t="s">
        <v>101</v>
      </c>
      <c r="C239" s="727"/>
      <c r="D239" s="727"/>
      <c r="E239" s="727"/>
      <c r="F239" s="867"/>
      <c r="G239" s="24"/>
    </row>
    <row r="240" spans="1:7" x14ac:dyDescent="0.2">
      <c r="A240" s="1527"/>
      <c r="B240" s="862" t="s">
        <v>90</v>
      </c>
      <c r="C240" s="727">
        <v>64000</v>
      </c>
      <c r="D240" s="727">
        <v>122682</v>
      </c>
      <c r="E240" s="727">
        <v>122682</v>
      </c>
      <c r="F240" s="867">
        <f>E240/D240*100</f>
        <v>100</v>
      </c>
      <c r="G240" s="24"/>
    </row>
    <row r="241" spans="1:7" x14ac:dyDescent="0.2">
      <c r="A241" s="1527"/>
      <c r="B241" s="862" t="s">
        <v>102</v>
      </c>
      <c r="C241" s="727"/>
      <c r="D241" s="727"/>
      <c r="E241" s="727"/>
      <c r="F241" s="867"/>
      <c r="G241" s="24"/>
    </row>
    <row r="242" spans="1:7" ht="25.5" x14ac:dyDescent="0.2">
      <c r="A242" s="1527"/>
      <c r="B242" s="862" t="s">
        <v>97</v>
      </c>
      <c r="C242" s="727"/>
      <c r="D242" s="727"/>
      <c r="E242" s="727"/>
      <c r="F242" s="867"/>
      <c r="G242" s="24"/>
    </row>
    <row r="243" spans="1:7" x14ac:dyDescent="0.2">
      <c r="A243" s="1527"/>
      <c r="B243" s="862" t="s">
        <v>103</v>
      </c>
      <c r="C243" s="727"/>
      <c r="D243" s="727"/>
      <c r="E243" s="727"/>
      <c r="F243" s="867"/>
      <c r="G243" s="24"/>
    </row>
    <row r="244" spans="1:7" x14ac:dyDescent="0.2">
      <c r="A244" s="1527"/>
      <c r="B244" s="862" t="s">
        <v>92</v>
      </c>
      <c r="C244" s="727"/>
      <c r="D244" s="727"/>
      <c r="E244" s="727"/>
      <c r="F244" s="867"/>
      <c r="G244" s="24"/>
    </row>
    <row r="245" spans="1:7" x14ac:dyDescent="0.2">
      <c r="A245" s="1527"/>
      <c r="B245" s="862" t="s">
        <v>93</v>
      </c>
      <c r="C245" s="741"/>
      <c r="D245" s="741"/>
      <c r="E245" s="741"/>
      <c r="F245" s="867"/>
      <c r="G245" s="24"/>
    </row>
    <row r="246" spans="1:7" x14ac:dyDescent="0.2">
      <c r="A246" s="1527"/>
      <c r="B246" s="862" t="s">
        <v>94</v>
      </c>
      <c r="C246" s="741"/>
      <c r="D246" s="741"/>
      <c r="E246" s="741"/>
      <c r="F246" s="867"/>
      <c r="G246" s="24"/>
    </row>
    <row r="247" spans="1:7" ht="13.5" thickBot="1" x14ac:dyDescent="0.25">
      <c r="A247" s="1527"/>
      <c r="B247" s="863" t="s">
        <v>104</v>
      </c>
      <c r="C247" s="743"/>
      <c r="D247" s="743"/>
      <c r="E247" s="743"/>
      <c r="F247" s="864"/>
      <c r="G247" s="24"/>
    </row>
    <row r="248" spans="1:7" ht="13.5" thickBot="1" x14ac:dyDescent="0.25">
      <c r="A248" s="1527"/>
      <c r="B248" s="858" t="s">
        <v>14</v>
      </c>
      <c r="C248" s="749">
        <f>SUM(C238:C247)</f>
        <v>64000</v>
      </c>
      <c r="D248" s="749">
        <f>SUM(D238:D247)</f>
        <v>122682</v>
      </c>
      <c r="E248" s="749">
        <f>SUM(E238:E247)</f>
        <v>122682</v>
      </c>
      <c r="F248" s="859">
        <f>E248/D248*100</f>
        <v>100</v>
      </c>
      <c r="G248" s="24"/>
    </row>
    <row r="249" spans="1:7" x14ac:dyDescent="0.2">
      <c r="A249" s="1526" t="s">
        <v>435</v>
      </c>
      <c r="B249" s="1148" t="s">
        <v>88</v>
      </c>
      <c r="C249" s="1141"/>
      <c r="D249" s="1141"/>
      <c r="E249" s="1347"/>
      <c r="F249" s="1141"/>
      <c r="G249" s="24"/>
    </row>
    <row r="250" spans="1:7" ht="25.5" x14ac:dyDescent="0.2">
      <c r="A250" s="1527"/>
      <c r="B250" s="862" t="s">
        <v>101</v>
      </c>
      <c r="C250" s="727"/>
      <c r="D250" s="727"/>
      <c r="E250" s="1001"/>
      <c r="F250" s="727"/>
      <c r="G250" s="24"/>
    </row>
    <row r="251" spans="1:7" x14ac:dyDescent="0.2">
      <c r="A251" s="1527"/>
      <c r="B251" s="862" t="s">
        <v>90</v>
      </c>
      <c r="C251" s="727"/>
      <c r="D251" s="727"/>
      <c r="E251" s="1001"/>
      <c r="F251" s="727"/>
      <c r="G251" s="24"/>
    </row>
    <row r="252" spans="1:7" x14ac:dyDescent="0.2">
      <c r="A252" s="1527"/>
      <c r="B252" s="862" t="s">
        <v>102</v>
      </c>
      <c r="C252" s="727"/>
      <c r="D252" s="727"/>
      <c r="E252" s="1001"/>
      <c r="F252" s="727"/>
      <c r="G252" s="24"/>
    </row>
    <row r="253" spans="1:7" ht="25.5" x14ac:dyDescent="0.2">
      <c r="A253" s="1527"/>
      <c r="B253" s="862" t="s">
        <v>97</v>
      </c>
      <c r="C253" s="727"/>
      <c r="D253" s="727"/>
      <c r="E253" s="1001"/>
      <c r="F253" s="727"/>
      <c r="G253" s="24"/>
    </row>
    <row r="254" spans="1:7" x14ac:dyDescent="0.2">
      <c r="A254" s="1527"/>
      <c r="B254" s="862" t="s">
        <v>103</v>
      </c>
      <c r="C254" s="727"/>
      <c r="D254" s="727"/>
      <c r="E254" s="1001"/>
      <c r="F254" s="727"/>
      <c r="G254" s="24"/>
    </row>
    <row r="255" spans="1:7" x14ac:dyDescent="0.2">
      <c r="A255" s="1527"/>
      <c r="B255" s="862" t="s">
        <v>92</v>
      </c>
      <c r="C255" s="727"/>
      <c r="D255" s="727"/>
      <c r="E255" s="1001"/>
      <c r="F255" s="727"/>
      <c r="G255" s="24"/>
    </row>
    <row r="256" spans="1:7" x14ac:dyDescent="0.2">
      <c r="A256" s="1527"/>
      <c r="B256" s="862" t="s">
        <v>93</v>
      </c>
      <c r="C256" s="741">
        <v>762452</v>
      </c>
      <c r="D256" s="741">
        <v>778406</v>
      </c>
      <c r="E256" s="1002">
        <v>870705</v>
      </c>
      <c r="F256" s="727">
        <f>E256/D256*100</f>
        <v>111.85743686456682</v>
      </c>
      <c r="G256" s="24"/>
    </row>
    <row r="257" spans="1:7" x14ac:dyDescent="0.2">
      <c r="A257" s="1527"/>
      <c r="B257" s="862" t="s">
        <v>94</v>
      </c>
      <c r="C257" s="741"/>
      <c r="D257" s="741"/>
      <c r="E257" s="1002"/>
      <c r="F257" s="727"/>
      <c r="G257" s="24"/>
    </row>
    <row r="258" spans="1:7" ht="13.5" thickBot="1" x14ac:dyDescent="0.25">
      <c r="A258" s="1527"/>
      <c r="B258" s="863" t="s">
        <v>104</v>
      </c>
      <c r="C258" s="743"/>
      <c r="D258" s="743"/>
      <c r="E258" s="1003"/>
      <c r="F258" s="1005"/>
      <c r="G258" s="24"/>
    </row>
    <row r="259" spans="1:7" ht="13.5" thickBot="1" x14ac:dyDescent="0.25">
      <c r="A259" s="1527"/>
      <c r="B259" s="858" t="s">
        <v>14</v>
      </c>
      <c r="C259" s="749">
        <f>SUM(C249:C258)</f>
        <v>762452</v>
      </c>
      <c r="D259" s="749">
        <f>SUM(D249:D258)</f>
        <v>778406</v>
      </c>
      <c r="E259" s="1004">
        <f>SUM(E249:E258)</f>
        <v>870705</v>
      </c>
      <c r="F259" s="1006">
        <f>E259/D259*100</f>
        <v>111.85743686456682</v>
      </c>
      <c r="G259" s="24"/>
    </row>
    <row r="260" spans="1:7" ht="13.5" thickBot="1" x14ac:dyDescent="0.25">
      <c r="A260" s="870" t="s">
        <v>72</v>
      </c>
      <c r="B260" s="1360" t="s">
        <v>24</v>
      </c>
      <c r="C260" s="1361" t="s">
        <v>156</v>
      </c>
      <c r="D260" s="1361" t="s">
        <v>148</v>
      </c>
      <c r="E260" s="1361" t="s">
        <v>149</v>
      </c>
      <c r="F260" s="1362" t="s">
        <v>150</v>
      </c>
      <c r="G260" s="24"/>
    </row>
    <row r="261" spans="1:7" ht="13.15" customHeight="1" x14ac:dyDescent="0.2">
      <c r="A261" s="1526" t="s">
        <v>157</v>
      </c>
      <c r="B261" s="860" t="s">
        <v>88</v>
      </c>
      <c r="C261" s="853"/>
      <c r="D261" s="853"/>
      <c r="E261" s="853"/>
      <c r="F261" s="861"/>
      <c r="G261" s="24"/>
    </row>
    <row r="262" spans="1:7" ht="25.5" x14ac:dyDescent="0.2">
      <c r="A262" s="1527"/>
      <c r="B262" s="862" t="s">
        <v>101</v>
      </c>
      <c r="C262" s="727"/>
      <c r="D262" s="727"/>
      <c r="E262" s="727"/>
      <c r="F262" s="854"/>
      <c r="G262" s="24"/>
    </row>
    <row r="263" spans="1:7" x14ac:dyDescent="0.2">
      <c r="A263" s="1527"/>
      <c r="B263" s="862" t="s">
        <v>90</v>
      </c>
      <c r="C263" s="727"/>
      <c r="D263" s="727"/>
      <c r="E263" s="727"/>
      <c r="F263" s="854"/>
      <c r="G263" s="24"/>
    </row>
    <row r="264" spans="1:7" x14ac:dyDescent="0.2">
      <c r="A264" s="1527"/>
      <c r="B264" s="862" t="s">
        <v>102</v>
      </c>
      <c r="C264" s="727"/>
      <c r="D264" s="727"/>
      <c r="E264" s="727"/>
      <c r="F264" s="854"/>
      <c r="G264" s="24"/>
    </row>
    <row r="265" spans="1:7" ht="25.5" x14ac:dyDescent="0.2">
      <c r="A265" s="1527"/>
      <c r="B265" s="862" t="s">
        <v>97</v>
      </c>
      <c r="C265" s="727">
        <v>672388</v>
      </c>
      <c r="D265" s="727">
        <v>310275</v>
      </c>
      <c r="E265" s="727">
        <v>310275</v>
      </c>
      <c r="F265" s="867">
        <f>E265/D265*100</f>
        <v>100</v>
      </c>
      <c r="G265" s="24"/>
    </row>
    <row r="266" spans="1:7" x14ac:dyDescent="0.2">
      <c r="A266" s="1527"/>
      <c r="B266" s="862" t="s">
        <v>103</v>
      </c>
      <c r="C266" s="727"/>
      <c r="D266" s="727"/>
      <c r="E266" s="727"/>
      <c r="F266" s="854"/>
      <c r="G266" s="24"/>
    </row>
    <row r="267" spans="1:7" x14ac:dyDescent="0.2">
      <c r="A267" s="1527"/>
      <c r="B267" s="862" t="s">
        <v>92</v>
      </c>
      <c r="C267" s="727"/>
      <c r="D267" s="727"/>
      <c r="E267" s="727"/>
      <c r="F267" s="854"/>
      <c r="G267" s="24"/>
    </row>
    <row r="268" spans="1:7" x14ac:dyDescent="0.2">
      <c r="A268" s="1527"/>
      <c r="B268" s="862" t="s">
        <v>93</v>
      </c>
      <c r="C268" s="741"/>
      <c r="D268" s="741"/>
      <c r="E268" s="741"/>
      <c r="F268" s="854"/>
      <c r="G268" s="24"/>
    </row>
    <row r="269" spans="1:7" x14ac:dyDescent="0.2">
      <c r="A269" s="1527"/>
      <c r="B269" s="862" t="s">
        <v>94</v>
      </c>
      <c r="C269" s="741"/>
      <c r="D269" s="741"/>
      <c r="E269" s="741"/>
      <c r="F269" s="854"/>
      <c r="G269" s="24"/>
    </row>
    <row r="270" spans="1:7" ht="13.5" thickBot="1" x14ac:dyDescent="0.25">
      <c r="A270" s="1527"/>
      <c r="B270" s="1131" t="s">
        <v>104</v>
      </c>
      <c r="C270" s="1351"/>
      <c r="D270" s="1351"/>
      <c r="E270" s="1351"/>
      <c r="F270" s="1357"/>
      <c r="G270" s="24"/>
    </row>
    <row r="271" spans="1:7" ht="13.5" thickBot="1" x14ac:dyDescent="0.25">
      <c r="A271" s="1527"/>
      <c r="B271" s="1348" t="s">
        <v>14</v>
      </c>
      <c r="C271" s="1349">
        <f>SUM(C261:C270)</f>
        <v>672388</v>
      </c>
      <c r="D271" s="1349">
        <f>SUM(D261:D270)</f>
        <v>310275</v>
      </c>
      <c r="E271" s="1349">
        <f>SUM(E261:E270)</f>
        <v>310275</v>
      </c>
      <c r="F271" s="1350">
        <f>E271/D271*100</f>
        <v>100</v>
      </c>
      <c r="G271" s="24"/>
    </row>
    <row r="272" spans="1:7" x14ac:dyDescent="0.2">
      <c r="A272" s="1526" t="s">
        <v>143</v>
      </c>
      <c r="B272" s="860" t="s">
        <v>88</v>
      </c>
      <c r="C272" s="853"/>
      <c r="D272" s="853"/>
      <c r="E272" s="853"/>
      <c r="F272" s="866"/>
      <c r="G272" s="24"/>
    </row>
    <row r="273" spans="1:7" ht="25.5" x14ac:dyDescent="0.2">
      <c r="A273" s="1527"/>
      <c r="B273" s="862" t="s">
        <v>101</v>
      </c>
      <c r="C273" s="727"/>
      <c r="D273" s="727"/>
      <c r="E273" s="727"/>
      <c r="F273" s="867"/>
      <c r="G273" s="24"/>
    </row>
    <row r="274" spans="1:7" x14ac:dyDescent="0.2">
      <c r="A274" s="1527"/>
      <c r="B274" s="862" t="s">
        <v>90</v>
      </c>
      <c r="C274" s="727"/>
      <c r="D274" s="727"/>
      <c r="E274" s="727"/>
      <c r="F274" s="867"/>
      <c r="G274" s="24"/>
    </row>
    <row r="275" spans="1:7" x14ac:dyDescent="0.2">
      <c r="A275" s="1527"/>
      <c r="B275" s="862" t="s">
        <v>102</v>
      </c>
      <c r="C275" s="727"/>
      <c r="D275" s="727"/>
      <c r="E275" s="727"/>
      <c r="F275" s="867"/>
      <c r="G275" s="24"/>
    </row>
    <row r="276" spans="1:7" ht="25.5" x14ac:dyDescent="0.2">
      <c r="A276" s="1527"/>
      <c r="B276" s="862" t="s">
        <v>97</v>
      </c>
      <c r="C276" s="727">
        <v>6087000</v>
      </c>
      <c r="D276" s="727">
        <v>10520657</v>
      </c>
      <c r="E276" s="727">
        <v>11947667</v>
      </c>
      <c r="F276" s="867">
        <f>E276/D276*100</f>
        <v>113.56388674205422</v>
      </c>
      <c r="G276" s="24"/>
    </row>
    <row r="277" spans="1:7" x14ac:dyDescent="0.2">
      <c r="A277" s="1527"/>
      <c r="B277" s="862" t="s">
        <v>103</v>
      </c>
      <c r="C277" s="727"/>
      <c r="D277" s="727"/>
      <c r="E277" s="727"/>
      <c r="F277" s="867"/>
      <c r="G277" s="24"/>
    </row>
    <row r="278" spans="1:7" x14ac:dyDescent="0.2">
      <c r="A278" s="1527"/>
      <c r="B278" s="862" t="s">
        <v>92</v>
      </c>
      <c r="C278" s="727"/>
      <c r="D278" s="727"/>
      <c r="E278" s="727"/>
      <c r="F278" s="867"/>
      <c r="G278" s="24"/>
    </row>
    <row r="279" spans="1:7" x14ac:dyDescent="0.2">
      <c r="A279" s="1527"/>
      <c r="B279" s="862" t="s">
        <v>93</v>
      </c>
      <c r="C279" s="741"/>
      <c r="D279" s="741"/>
      <c r="E279" s="741"/>
      <c r="F279" s="867"/>
      <c r="G279" s="24"/>
    </row>
    <row r="280" spans="1:7" x14ac:dyDescent="0.2">
      <c r="A280" s="1527"/>
      <c r="B280" s="862" t="s">
        <v>94</v>
      </c>
      <c r="C280" s="741"/>
      <c r="D280" s="741"/>
      <c r="E280" s="741"/>
      <c r="F280" s="867"/>
      <c r="G280" s="24"/>
    </row>
    <row r="281" spans="1:7" ht="13.5" thickBot="1" x14ac:dyDescent="0.25">
      <c r="A281" s="1527"/>
      <c r="B281" s="863" t="s">
        <v>104</v>
      </c>
      <c r="C281" s="743"/>
      <c r="D281" s="743"/>
      <c r="E281" s="743"/>
      <c r="F281" s="868"/>
      <c r="G281" s="24"/>
    </row>
    <row r="282" spans="1:7" ht="13.5" thickBot="1" x14ac:dyDescent="0.25">
      <c r="A282" s="1527"/>
      <c r="B282" s="1140" t="s">
        <v>14</v>
      </c>
      <c r="C282" s="1134">
        <f>SUM(C272:C281)</f>
        <v>6087000</v>
      </c>
      <c r="D282" s="1134">
        <f>SUM(D272:D281)</f>
        <v>10520657</v>
      </c>
      <c r="E282" s="1134">
        <f>SUM(E272:E281)</f>
        <v>11947667</v>
      </c>
      <c r="F282" s="1000">
        <f>E282/D282*100</f>
        <v>113.56388674205422</v>
      </c>
      <c r="G282" s="24"/>
    </row>
    <row r="283" spans="1:7" x14ac:dyDescent="0.2">
      <c r="A283" s="1526" t="s">
        <v>576</v>
      </c>
      <c r="B283" s="860" t="s">
        <v>88</v>
      </c>
      <c r="C283" s="853"/>
      <c r="D283" s="853"/>
      <c r="E283" s="853"/>
      <c r="F283" s="866"/>
      <c r="G283" s="24"/>
    </row>
    <row r="284" spans="1:7" ht="25.5" x14ac:dyDescent="0.2">
      <c r="A284" s="1527"/>
      <c r="B284" s="862" t="s">
        <v>101</v>
      </c>
      <c r="C284" s="727"/>
      <c r="D284" s="727"/>
      <c r="E284" s="727"/>
      <c r="F284" s="867"/>
      <c r="G284" s="24"/>
    </row>
    <row r="285" spans="1:7" x14ac:dyDescent="0.2">
      <c r="A285" s="1527"/>
      <c r="B285" s="862" t="s">
        <v>90</v>
      </c>
      <c r="C285" s="727"/>
      <c r="D285" s="727">
        <v>300153</v>
      </c>
      <c r="E285" s="727">
        <v>300153</v>
      </c>
      <c r="F285" s="867">
        <f t="shared" ref="F285" si="7">E285/D285*100</f>
        <v>100</v>
      </c>
      <c r="G285" s="24"/>
    </row>
    <row r="286" spans="1:7" x14ac:dyDescent="0.2">
      <c r="A286" s="1527"/>
      <c r="B286" s="862" t="s">
        <v>102</v>
      </c>
      <c r="C286" s="727"/>
      <c r="D286" s="727"/>
      <c r="E286" s="727"/>
      <c r="F286" s="867"/>
      <c r="G286" s="24"/>
    </row>
    <row r="287" spans="1:7" ht="25.5" x14ac:dyDescent="0.2">
      <c r="A287" s="1527"/>
      <c r="B287" s="862" t="s">
        <v>97</v>
      </c>
      <c r="C287" s="727"/>
      <c r="D287" s="727"/>
      <c r="E287" s="727"/>
      <c r="F287" s="867"/>
      <c r="G287" s="24"/>
    </row>
    <row r="288" spans="1:7" x14ac:dyDescent="0.2">
      <c r="A288" s="1527"/>
      <c r="B288" s="862" t="s">
        <v>103</v>
      </c>
      <c r="C288" s="727"/>
      <c r="D288" s="727"/>
      <c r="E288" s="727"/>
      <c r="F288" s="867"/>
      <c r="G288" s="24"/>
    </row>
    <row r="289" spans="1:7" x14ac:dyDescent="0.2">
      <c r="A289" s="1527"/>
      <c r="B289" s="862" t="s">
        <v>92</v>
      </c>
      <c r="C289" s="727"/>
      <c r="D289" s="727">
        <v>149847</v>
      </c>
      <c r="E289" s="727">
        <v>149847</v>
      </c>
      <c r="F289" s="867">
        <f t="shared" ref="F289" si="8">E289/D289*100</f>
        <v>100</v>
      </c>
      <c r="G289" s="24"/>
    </row>
    <row r="290" spans="1:7" x14ac:dyDescent="0.2">
      <c r="A290" s="1527"/>
      <c r="B290" s="862" t="s">
        <v>93</v>
      </c>
      <c r="C290" s="741"/>
      <c r="D290" s="741"/>
      <c r="E290" s="741"/>
      <c r="F290" s="867"/>
      <c r="G290" s="24"/>
    </row>
    <row r="291" spans="1:7" x14ac:dyDescent="0.2">
      <c r="A291" s="1527"/>
      <c r="B291" s="862" t="s">
        <v>94</v>
      </c>
      <c r="C291" s="741"/>
      <c r="D291" s="741"/>
      <c r="E291" s="741"/>
      <c r="F291" s="867"/>
      <c r="G291" s="24"/>
    </row>
    <row r="292" spans="1:7" ht="13.5" thickBot="1" x14ac:dyDescent="0.25">
      <c r="A292" s="1527"/>
      <c r="B292" s="863" t="s">
        <v>104</v>
      </c>
      <c r="C292" s="743"/>
      <c r="D292" s="743"/>
      <c r="E292" s="743"/>
      <c r="F292" s="868"/>
      <c r="G292" s="24"/>
    </row>
    <row r="293" spans="1:7" ht="13.5" thickBot="1" x14ac:dyDescent="0.25">
      <c r="A293" s="1527"/>
      <c r="B293" s="1140" t="s">
        <v>14</v>
      </c>
      <c r="C293" s="1134">
        <f>SUM(C283:C292)</f>
        <v>0</v>
      </c>
      <c r="D293" s="1134">
        <f>SUM(D283:D292)</f>
        <v>450000</v>
      </c>
      <c r="E293" s="1134">
        <f>SUM(E283:E292)</f>
        <v>450000</v>
      </c>
      <c r="F293" s="1000">
        <f>E293/D293*100</f>
        <v>100</v>
      </c>
      <c r="G293" s="24"/>
    </row>
    <row r="294" spans="1:7" x14ac:dyDescent="0.2">
      <c r="A294" s="1526" t="s">
        <v>472</v>
      </c>
      <c r="B294" s="860" t="s">
        <v>88</v>
      </c>
      <c r="C294" s="853"/>
      <c r="D294" s="853"/>
      <c r="E294" s="853"/>
      <c r="F294" s="866"/>
      <c r="G294" s="24"/>
    </row>
    <row r="295" spans="1:7" ht="25.5" x14ac:dyDescent="0.2">
      <c r="A295" s="1527"/>
      <c r="B295" s="862" t="s">
        <v>101</v>
      </c>
      <c r="C295" s="727"/>
      <c r="D295" s="727"/>
      <c r="E295" s="727"/>
      <c r="F295" s="867"/>
      <c r="G295" s="24"/>
    </row>
    <row r="296" spans="1:7" x14ac:dyDescent="0.2">
      <c r="A296" s="1527"/>
      <c r="B296" s="862" t="s">
        <v>90</v>
      </c>
      <c r="C296" s="727">
        <v>2000000</v>
      </c>
      <c r="D296" s="727"/>
      <c r="E296" s="727"/>
      <c r="F296" s="867"/>
      <c r="G296" s="24"/>
    </row>
    <row r="297" spans="1:7" x14ac:dyDescent="0.2">
      <c r="A297" s="1527"/>
      <c r="B297" s="862" t="s">
        <v>102</v>
      </c>
      <c r="C297" s="727"/>
      <c r="D297" s="727"/>
      <c r="E297" s="727"/>
      <c r="F297" s="867"/>
      <c r="G297" s="24"/>
    </row>
    <row r="298" spans="1:7" ht="25.5" x14ac:dyDescent="0.2">
      <c r="A298" s="1527"/>
      <c r="B298" s="862" t="s">
        <v>97</v>
      </c>
      <c r="C298" s="727"/>
      <c r="D298" s="727"/>
      <c r="E298" s="727"/>
      <c r="F298" s="867"/>
      <c r="G298" s="24"/>
    </row>
    <row r="299" spans="1:7" x14ac:dyDescent="0.2">
      <c r="A299" s="1527"/>
      <c r="B299" s="862" t="s">
        <v>103</v>
      </c>
      <c r="C299" s="727"/>
      <c r="D299" s="727"/>
      <c r="E299" s="727"/>
      <c r="F299" s="867"/>
      <c r="G299" s="24"/>
    </row>
    <row r="300" spans="1:7" x14ac:dyDescent="0.2">
      <c r="A300" s="1527"/>
      <c r="B300" s="862" t="s">
        <v>92</v>
      </c>
      <c r="C300" s="727"/>
      <c r="D300" s="727"/>
      <c r="E300" s="727"/>
      <c r="F300" s="867"/>
      <c r="G300" s="24"/>
    </row>
    <row r="301" spans="1:7" x14ac:dyDescent="0.2">
      <c r="A301" s="1527"/>
      <c r="B301" s="862" t="s">
        <v>93</v>
      </c>
      <c r="C301" s="741"/>
      <c r="D301" s="741"/>
      <c r="E301" s="741"/>
      <c r="F301" s="867"/>
      <c r="G301" s="24"/>
    </row>
    <row r="302" spans="1:7" x14ac:dyDescent="0.2">
      <c r="A302" s="1527"/>
      <c r="B302" s="862" t="s">
        <v>94</v>
      </c>
      <c r="C302" s="741"/>
      <c r="D302" s="741"/>
      <c r="E302" s="741"/>
      <c r="F302" s="867"/>
      <c r="G302" s="24"/>
    </row>
    <row r="303" spans="1:7" ht="13.5" thickBot="1" x14ac:dyDescent="0.25">
      <c r="A303" s="1527"/>
      <c r="B303" s="863" t="s">
        <v>104</v>
      </c>
      <c r="C303" s="743"/>
      <c r="D303" s="743"/>
      <c r="E303" s="743"/>
      <c r="F303" s="868"/>
      <c r="G303" s="24"/>
    </row>
    <row r="304" spans="1:7" ht="18.75" customHeight="1" thickBot="1" x14ac:dyDescent="0.25">
      <c r="A304" s="1527"/>
      <c r="B304" s="858" t="s">
        <v>14</v>
      </c>
      <c r="C304" s="749">
        <f>SUM(C294:C303)</f>
        <v>2000000</v>
      </c>
      <c r="D304" s="749">
        <f>SUM(D294:D303)</f>
        <v>0</v>
      </c>
      <c r="E304" s="749">
        <f>SUM(E294:E303)</f>
        <v>0</v>
      </c>
      <c r="F304" s="859"/>
      <c r="G304" s="24"/>
    </row>
    <row r="305" spans="1:7" x14ac:dyDescent="0.2">
      <c r="A305" s="1526" t="s">
        <v>577</v>
      </c>
      <c r="B305" s="1148" t="s">
        <v>88</v>
      </c>
      <c r="C305" s="1141"/>
      <c r="D305" s="1141">
        <v>15000</v>
      </c>
      <c r="E305" s="1141">
        <v>14169</v>
      </c>
      <c r="F305" s="1142">
        <f>E305/D305%</f>
        <v>94.46</v>
      </c>
      <c r="G305" s="24"/>
    </row>
    <row r="306" spans="1:7" ht="25.5" x14ac:dyDescent="0.2">
      <c r="A306" s="1527"/>
      <c r="B306" s="862" t="s">
        <v>101</v>
      </c>
      <c r="C306" s="727"/>
      <c r="D306" s="727"/>
      <c r="E306" s="727"/>
      <c r="F306" s="854"/>
      <c r="G306" s="24"/>
    </row>
    <row r="307" spans="1:7" x14ac:dyDescent="0.2">
      <c r="A307" s="1527"/>
      <c r="B307" s="862" t="s">
        <v>90</v>
      </c>
      <c r="C307" s="727">
        <v>6954360</v>
      </c>
      <c r="D307" s="727">
        <v>3419616</v>
      </c>
      <c r="E307" s="727">
        <v>2548911</v>
      </c>
      <c r="F307" s="867">
        <f t="shared" ref="F307:F309" si="9">E307/D307*100</f>
        <v>74.537930574661019</v>
      </c>
      <c r="G307" s="24"/>
    </row>
    <row r="308" spans="1:7" x14ac:dyDescent="0.2">
      <c r="A308" s="1527"/>
      <c r="B308" s="862" t="s">
        <v>102</v>
      </c>
      <c r="C308" s="727"/>
      <c r="D308" s="727"/>
      <c r="E308" s="727"/>
      <c r="F308" s="867"/>
      <c r="G308" s="24"/>
    </row>
    <row r="309" spans="1:7" ht="25.5" x14ac:dyDescent="0.2">
      <c r="A309" s="1527"/>
      <c r="B309" s="862" t="s">
        <v>97</v>
      </c>
      <c r="C309" s="727">
        <v>1043487</v>
      </c>
      <c r="D309" s="727">
        <v>2670809</v>
      </c>
      <c r="E309" s="727">
        <v>970809</v>
      </c>
      <c r="F309" s="867">
        <f t="shared" si="9"/>
        <v>36.348874067745015</v>
      </c>
      <c r="G309" s="24"/>
    </row>
    <row r="310" spans="1:7" x14ac:dyDescent="0.2">
      <c r="A310" s="1527"/>
      <c r="B310" s="862" t="s">
        <v>103</v>
      </c>
      <c r="C310" s="727"/>
      <c r="D310" s="727"/>
      <c r="E310" s="727"/>
      <c r="F310" s="867"/>
      <c r="G310" s="24"/>
    </row>
    <row r="311" spans="1:7" x14ac:dyDescent="0.2">
      <c r="A311" s="1527"/>
      <c r="B311" s="862" t="s">
        <v>92</v>
      </c>
      <c r="C311" s="727"/>
      <c r="D311" s="727"/>
      <c r="E311" s="727">
        <v>179896</v>
      </c>
      <c r="F311" s="867"/>
      <c r="G311" s="24"/>
    </row>
    <row r="312" spans="1:7" x14ac:dyDescent="0.2">
      <c r="A312" s="1527"/>
      <c r="B312" s="862" t="s">
        <v>93</v>
      </c>
      <c r="C312" s="741"/>
      <c r="D312" s="741"/>
      <c r="E312" s="741"/>
      <c r="F312" s="867"/>
      <c r="G312" s="24"/>
    </row>
    <row r="313" spans="1:7" x14ac:dyDescent="0.2">
      <c r="A313" s="1527"/>
      <c r="B313" s="862" t="s">
        <v>94</v>
      </c>
      <c r="C313" s="741"/>
      <c r="D313" s="741"/>
      <c r="E313" s="741"/>
      <c r="F313" s="867"/>
      <c r="G313" s="24"/>
    </row>
    <row r="314" spans="1:7" ht="13.5" thickBot="1" x14ac:dyDescent="0.25">
      <c r="A314" s="1527"/>
      <c r="B314" s="863" t="s">
        <v>104</v>
      </c>
      <c r="C314" s="743"/>
      <c r="D314" s="743"/>
      <c r="E314" s="743"/>
      <c r="F314" s="867"/>
      <c r="G314" s="24"/>
    </row>
    <row r="315" spans="1:7" ht="13.5" thickBot="1" x14ac:dyDescent="0.25">
      <c r="A315" s="1527"/>
      <c r="B315" s="858" t="s">
        <v>14</v>
      </c>
      <c r="C315" s="749">
        <f>SUM(C305:C314)</f>
        <v>7997847</v>
      </c>
      <c r="D315" s="749">
        <f>SUM(D305:D314)</f>
        <v>6105425</v>
      </c>
      <c r="E315" s="749">
        <f>SUM(E305:E314)</f>
        <v>3713785</v>
      </c>
      <c r="F315" s="859">
        <f>E315/D315*100</f>
        <v>60.827624612537214</v>
      </c>
      <c r="G315" s="24"/>
    </row>
    <row r="316" spans="1:7" x14ac:dyDescent="0.2">
      <c r="A316" s="1532" t="s">
        <v>473</v>
      </c>
      <c r="B316" s="1148" t="s">
        <v>88</v>
      </c>
      <c r="C316" s="1146"/>
      <c r="D316" s="1146"/>
      <c r="E316" s="1146"/>
      <c r="F316" s="1147"/>
      <c r="G316" s="24"/>
    </row>
    <row r="317" spans="1:7" ht="25.5" x14ac:dyDescent="0.2">
      <c r="A317" s="1533"/>
      <c r="B317" s="862" t="s">
        <v>101</v>
      </c>
      <c r="C317" s="1008"/>
      <c r="D317" s="1008"/>
      <c r="E317" s="1008"/>
      <c r="F317" s="1130"/>
      <c r="G317" s="24"/>
    </row>
    <row r="318" spans="1:7" x14ac:dyDescent="0.2">
      <c r="A318" s="1533"/>
      <c r="B318" s="862" t="s">
        <v>90</v>
      </c>
      <c r="C318" s="1008">
        <v>10361770</v>
      </c>
      <c r="D318" s="1008">
        <v>8459018</v>
      </c>
      <c r="E318" s="1008">
        <v>9265552</v>
      </c>
      <c r="F318" s="1009">
        <f>E318/D318*100</f>
        <v>109.53460555350514</v>
      </c>
      <c r="G318" s="24"/>
    </row>
    <row r="319" spans="1:7" x14ac:dyDescent="0.2">
      <c r="A319" s="1533"/>
      <c r="B319" s="862" t="s">
        <v>102</v>
      </c>
      <c r="C319" s="1008"/>
      <c r="D319" s="1008"/>
      <c r="E319" s="1008"/>
      <c r="F319" s="1130"/>
      <c r="G319" s="24"/>
    </row>
    <row r="320" spans="1:7" ht="25.5" x14ac:dyDescent="0.2">
      <c r="A320" s="1533"/>
      <c r="B320" s="862" t="s">
        <v>97</v>
      </c>
      <c r="C320" s="1008"/>
      <c r="D320" s="1008"/>
      <c r="E320" s="1008"/>
      <c r="F320" s="1130"/>
      <c r="G320" s="24"/>
    </row>
    <row r="321" spans="1:7" x14ac:dyDescent="0.2">
      <c r="A321" s="1533"/>
      <c r="B321" s="862" t="s">
        <v>103</v>
      </c>
      <c r="C321" s="1008"/>
      <c r="D321" s="1008"/>
      <c r="E321" s="1008"/>
      <c r="F321" s="1130"/>
      <c r="G321" s="24"/>
    </row>
    <row r="322" spans="1:7" x14ac:dyDescent="0.2">
      <c r="A322" s="1533"/>
      <c r="B322" s="862" t="s">
        <v>92</v>
      </c>
      <c r="C322" s="1008"/>
      <c r="D322" s="1008"/>
      <c r="E322" s="1008"/>
      <c r="F322" s="1130"/>
      <c r="G322" s="24"/>
    </row>
    <row r="323" spans="1:7" x14ac:dyDescent="0.2">
      <c r="A323" s="1533"/>
      <c r="B323" s="862" t="s">
        <v>93</v>
      </c>
      <c r="C323" s="1008"/>
      <c r="D323" s="1008"/>
      <c r="E323" s="1008"/>
      <c r="F323" s="1130"/>
      <c r="G323" s="24"/>
    </row>
    <row r="324" spans="1:7" x14ac:dyDescent="0.2">
      <c r="A324" s="1533"/>
      <c r="B324" s="862" t="s">
        <v>94</v>
      </c>
      <c r="C324" s="1008"/>
      <c r="D324" s="1008"/>
      <c r="E324" s="1008"/>
      <c r="F324" s="1130"/>
      <c r="G324" s="24"/>
    </row>
    <row r="325" spans="1:7" ht="13.5" thickBot="1" x14ac:dyDescent="0.25">
      <c r="A325" s="1533"/>
      <c r="B325" s="1131" t="s">
        <v>104</v>
      </c>
      <c r="C325" s="1132"/>
      <c r="D325" s="1132"/>
      <c r="E325" s="1132"/>
      <c r="F325" s="1133"/>
      <c r="G325" s="24"/>
    </row>
    <row r="326" spans="1:7" ht="13.5" thickBot="1" x14ac:dyDescent="0.25">
      <c r="A326" s="1534"/>
      <c r="B326" s="1007" t="s">
        <v>14</v>
      </c>
      <c r="C326" s="1010">
        <f>SUM(C316:C325)</f>
        <v>10361770</v>
      </c>
      <c r="D326" s="1010">
        <f t="shared" ref="D326:E326" si="10">SUM(D316:D325)</f>
        <v>8459018</v>
      </c>
      <c r="E326" s="1010">
        <f t="shared" si="10"/>
        <v>9265552</v>
      </c>
      <c r="F326" s="1011">
        <f>E326/D326*100</f>
        <v>109.53460555350514</v>
      </c>
      <c r="G326" s="24"/>
    </row>
    <row r="327" spans="1:7" x14ac:dyDescent="0.2">
      <c r="A327" s="1529" t="s">
        <v>167</v>
      </c>
      <c r="B327" s="860" t="s">
        <v>88</v>
      </c>
      <c r="C327" s="853"/>
      <c r="D327" s="853"/>
      <c r="E327" s="853"/>
      <c r="F327" s="861"/>
      <c r="G327" s="24"/>
    </row>
    <row r="328" spans="1:7" ht="25.5" x14ac:dyDescent="0.2">
      <c r="A328" s="1530"/>
      <c r="B328" s="862" t="s">
        <v>101</v>
      </c>
      <c r="C328" s="727"/>
      <c r="D328" s="727"/>
      <c r="E328" s="727"/>
      <c r="F328" s="854"/>
      <c r="G328" s="24"/>
    </row>
    <row r="329" spans="1:7" x14ac:dyDescent="0.2">
      <c r="A329" s="1530"/>
      <c r="B329" s="862" t="s">
        <v>90</v>
      </c>
      <c r="C329" s="727"/>
      <c r="D329" s="727"/>
      <c r="E329" s="727"/>
      <c r="F329" s="854"/>
      <c r="G329" s="24"/>
    </row>
    <row r="330" spans="1:7" x14ac:dyDescent="0.2">
      <c r="A330" s="1530"/>
      <c r="B330" s="862" t="s">
        <v>102</v>
      </c>
      <c r="C330" s="727"/>
      <c r="D330" s="727">
        <v>8053000</v>
      </c>
      <c r="E330" s="727">
        <v>8001000</v>
      </c>
      <c r="F330" s="867">
        <f>E330/D330*100</f>
        <v>99.354277908853845</v>
      </c>
      <c r="G330" s="24"/>
    </row>
    <row r="331" spans="1:7" ht="25.5" x14ac:dyDescent="0.2">
      <c r="A331" s="1530"/>
      <c r="B331" s="862" t="s">
        <v>97</v>
      </c>
      <c r="C331" s="727"/>
      <c r="D331" s="727"/>
      <c r="E331" s="727"/>
      <c r="F331" s="854"/>
      <c r="G331" s="24"/>
    </row>
    <row r="332" spans="1:7" x14ac:dyDescent="0.2">
      <c r="A332" s="1530"/>
      <c r="B332" s="862" t="s">
        <v>103</v>
      </c>
      <c r="C332" s="727"/>
      <c r="D332" s="727"/>
      <c r="E332" s="727"/>
      <c r="F332" s="854"/>
      <c r="G332" s="24"/>
    </row>
    <row r="333" spans="1:7" x14ac:dyDescent="0.2">
      <c r="A333" s="1530"/>
      <c r="B333" s="862" t="s">
        <v>92</v>
      </c>
      <c r="C333" s="727"/>
      <c r="D333" s="727"/>
      <c r="E333" s="727"/>
      <c r="F333" s="854"/>
      <c r="G333" s="24"/>
    </row>
    <row r="334" spans="1:7" x14ac:dyDescent="0.2">
      <c r="A334" s="1530"/>
      <c r="B334" s="862" t="s">
        <v>93</v>
      </c>
      <c r="C334" s="741"/>
      <c r="D334" s="741"/>
      <c r="E334" s="741"/>
      <c r="F334" s="854"/>
      <c r="G334" s="24"/>
    </row>
    <row r="335" spans="1:7" x14ac:dyDescent="0.2">
      <c r="A335" s="1530"/>
      <c r="B335" s="862" t="s">
        <v>94</v>
      </c>
      <c r="C335" s="741"/>
      <c r="D335" s="741"/>
      <c r="E335" s="741"/>
      <c r="F335" s="854"/>
      <c r="G335" s="24"/>
    </row>
    <row r="336" spans="1:7" ht="13.5" thickBot="1" x14ac:dyDescent="0.25">
      <c r="A336" s="1530"/>
      <c r="B336" s="863" t="s">
        <v>104</v>
      </c>
      <c r="C336" s="743"/>
      <c r="D336" s="743"/>
      <c r="E336" s="743"/>
      <c r="F336" s="864"/>
      <c r="G336" s="24"/>
    </row>
    <row r="337" spans="1:7" ht="13.5" thickBot="1" x14ac:dyDescent="0.25">
      <c r="A337" s="1531"/>
      <c r="B337" s="858" t="s">
        <v>14</v>
      </c>
      <c r="C337" s="749">
        <f>SUM(C327:C336)</f>
        <v>0</v>
      </c>
      <c r="D337" s="749">
        <f>SUM(D327:D336)</f>
        <v>8053000</v>
      </c>
      <c r="E337" s="749">
        <f>SUM(E327:E336)</f>
        <v>8001000</v>
      </c>
      <c r="F337" s="859">
        <f>E337/D337*100</f>
        <v>99.354277908853845</v>
      </c>
      <c r="G337" s="24"/>
    </row>
    <row r="338" spans="1:7" x14ac:dyDescent="0.2">
      <c r="A338" s="1526" t="s">
        <v>436</v>
      </c>
      <c r="B338" s="860" t="s">
        <v>88</v>
      </c>
      <c r="C338" s="853"/>
      <c r="D338" s="853"/>
      <c r="E338" s="853"/>
      <c r="F338" s="866"/>
      <c r="G338" s="24"/>
    </row>
    <row r="339" spans="1:7" ht="25.5" x14ac:dyDescent="0.2">
      <c r="A339" s="1527"/>
      <c r="B339" s="862" t="s">
        <v>101</v>
      </c>
      <c r="C339" s="727"/>
      <c r="D339" s="727"/>
      <c r="E339" s="727"/>
      <c r="F339" s="867"/>
      <c r="G339" s="24"/>
    </row>
    <row r="340" spans="1:7" x14ac:dyDescent="0.2">
      <c r="A340" s="1527"/>
      <c r="B340" s="862" t="s">
        <v>90</v>
      </c>
      <c r="C340" s="727"/>
      <c r="D340" s="727"/>
      <c r="E340" s="727"/>
      <c r="F340" s="867"/>
      <c r="G340" s="24"/>
    </row>
    <row r="341" spans="1:7" x14ac:dyDescent="0.2">
      <c r="A341" s="1527"/>
      <c r="B341" s="862" t="s">
        <v>102</v>
      </c>
      <c r="C341" s="727">
        <v>1950000</v>
      </c>
      <c r="D341" s="727">
        <v>1627180</v>
      </c>
      <c r="E341" s="727">
        <v>1627180</v>
      </c>
      <c r="F341" s="867">
        <f>E341/D341*100</f>
        <v>100</v>
      </c>
      <c r="G341" s="24"/>
    </row>
    <row r="342" spans="1:7" ht="25.5" x14ac:dyDescent="0.2">
      <c r="A342" s="1527"/>
      <c r="B342" s="862" t="s">
        <v>97</v>
      </c>
      <c r="C342" s="727"/>
      <c r="D342" s="727"/>
      <c r="E342" s="727"/>
      <c r="F342" s="867"/>
      <c r="G342" s="24"/>
    </row>
    <row r="343" spans="1:7" x14ac:dyDescent="0.2">
      <c r="A343" s="1527"/>
      <c r="B343" s="862" t="s">
        <v>103</v>
      </c>
      <c r="C343" s="727"/>
      <c r="D343" s="727"/>
      <c r="E343" s="727"/>
      <c r="F343" s="867"/>
      <c r="G343" s="24"/>
    </row>
    <row r="344" spans="1:7" x14ac:dyDescent="0.2">
      <c r="A344" s="1527"/>
      <c r="B344" s="862" t="s">
        <v>92</v>
      </c>
      <c r="C344" s="727"/>
      <c r="D344" s="727"/>
      <c r="E344" s="727"/>
      <c r="F344" s="867"/>
      <c r="G344" s="24"/>
    </row>
    <row r="345" spans="1:7" x14ac:dyDescent="0.2">
      <c r="A345" s="1527"/>
      <c r="B345" s="862" t="s">
        <v>93</v>
      </c>
      <c r="C345" s="741"/>
      <c r="D345" s="741"/>
      <c r="E345" s="741"/>
      <c r="F345" s="867"/>
      <c r="G345" s="24"/>
    </row>
    <row r="346" spans="1:7" x14ac:dyDescent="0.2">
      <c r="A346" s="1527"/>
      <c r="B346" s="862" t="s">
        <v>94</v>
      </c>
      <c r="C346" s="741"/>
      <c r="D346" s="741"/>
      <c r="E346" s="741"/>
      <c r="F346" s="867"/>
      <c r="G346" s="24"/>
    </row>
    <row r="347" spans="1:7" ht="13.5" thickBot="1" x14ac:dyDescent="0.25">
      <c r="A347" s="1527"/>
      <c r="B347" s="863" t="s">
        <v>104</v>
      </c>
      <c r="C347" s="743"/>
      <c r="D347" s="743"/>
      <c r="E347" s="743"/>
      <c r="F347" s="868"/>
      <c r="G347" s="24"/>
    </row>
    <row r="348" spans="1:7" ht="13.5" thickBot="1" x14ac:dyDescent="0.25">
      <c r="A348" s="1527"/>
      <c r="B348" s="858" t="s">
        <v>14</v>
      </c>
      <c r="C348" s="749">
        <f>SUM(C338:C347)</f>
        <v>1950000</v>
      </c>
      <c r="D348" s="749">
        <f>SUM(D338:D347)</f>
        <v>1627180</v>
      </c>
      <c r="E348" s="749">
        <f>SUM(E338:E347)</f>
        <v>1627180</v>
      </c>
      <c r="F348" s="859">
        <f>E348/D348*100</f>
        <v>100</v>
      </c>
      <c r="G348" s="24"/>
    </row>
    <row r="349" spans="1:7" x14ac:dyDescent="0.2">
      <c r="A349" s="1526" t="s">
        <v>437</v>
      </c>
      <c r="B349" s="860" t="s">
        <v>88</v>
      </c>
      <c r="C349" s="880"/>
      <c r="D349" s="880"/>
      <c r="E349" s="880"/>
      <c r="F349" s="866"/>
      <c r="G349" s="24"/>
    </row>
    <row r="350" spans="1:7" ht="25.5" x14ac:dyDescent="0.2">
      <c r="A350" s="1527"/>
      <c r="B350" s="862" t="s">
        <v>101</v>
      </c>
      <c r="C350" s="881"/>
      <c r="D350" s="881"/>
      <c r="E350" s="881"/>
      <c r="F350" s="867"/>
      <c r="G350" s="24"/>
    </row>
    <row r="351" spans="1:7" x14ac:dyDescent="0.2">
      <c r="A351" s="1527"/>
      <c r="B351" s="862" t="s">
        <v>90</v>
      </c>
      <c r="C351" s="881"/>
      <c r="D351" s="881"/>
      <c r="E351" s="881"/>
      <c r="F351" s="867"/>
      <c r="G351" s="24"/>
    </row>
    <row r="352" spans="1:7" x14ac:dyDescent="0.2">
      <c r="A352" s="1527"/>
      <c r="B352" s="862" t="s">
        <v>102</v>
      </c>
      <c r="C352" s="881"/>
      <c r="D352" s="881"/>
      <c r="E352" s="881"/>
      <c r="F352" s="867"/>
      <c r="G352" s="24"/>
    </row>
    <row r="353" spans="1:7" ht="25.5" x14ac:dyDescent="0.2">
      <c r="A353" s="1527"/>
      <c r="B353" s="862" t="s">
        <v>97</v>
      </c>
      <c r="C353" s="881">
        <v>5592209</v>
      </c>
      <c r="D353" s="881">
        <v>5210032</v>
      </c>
      <c r="E353" s="881">
        <v>5210632</v>
      </c>
      <c r="F353" s="867">
        <f>E353/D353*100</f>
        <v>100.01151624404609</v>
      </c>
      <c r="G353" s="24"/>
    </row>
    <row r="354" spans="1:7" x14ac:dyDescent="0.2">
      <c r="A354" s="1527"/>
      <c r="B354" s="862" t="s">
        <v>103</v>
      </c>
      <c r="C354" s="881"/>
      <c r="D354" s="881"/>
      <c r="E354" s="881"/>
      <c r="F354" s="867"/>
      <c r="G354" s="24"/>
    </row>
    <row r="355" spans="1:7" x14ac:dyDescent="0.2">
      <c r="A355" s="1527"/>
      <c r="B355" s="862" t="s">
        <v>92</v>
      </c>
      <c r="C355" s="881"/>
      <c r="D355" s="881"/>
      <c r="E355" s="881"/>
      <c r="F355" s="867"/>
      <c r="G355" s="24"/>
    </row>
    <row r="356" spans="1:7" x14ac:dyDescent="0.2">
      <c r="A356" s="1527"/>
      <c r="B356" s="862" t="s">
        <v>93</v>
      </c>
      <c r="C356" s="845"/>
      <c r="D356" s="881"/>
      <c r="E356" s="881"/>
      <c r="F356" s="867"/>
      <c r="G356" s="24"/>
    </row>
    <row r="357" spans="1:7" x14ac:dyDescent="0.2">
      <c r="A357" s="1527"/>
      <c r="B357" s="862" t="s">
        <v>94</v>
      </c>
      <c r="C357" s="845"/>
      <c r="D357" s="881"/>
      <c r="E357" s="845"/>
      <c r="F357" s="867"/>
      <c r="G357" s="24"/>
    </row>
    <row r="358" spans="1:7" ht="13.5" thickBot="1" x14ac:dyDescent="0.25">
      <c r="A358" s="1527"/>
      <c r="B358" s="863" t="s">
        <v>104</v>
      </c>
      <c r="C358" s="846"/>
      <c r="D358" s="846"/>
      <c r="E358" s="846"/>
      <c r="F358" s="868"/>
      <c r="G358" s="24"/>
    </row>
    <row r="359" spans="1:7" ht="13.5" thickBot="1" x14ac:dyDescent="0.25">
      <c r="A359" s="1527"/>
      <c r="B359" s="858" t="s">
        <v>14</v>
      </c>
      <c r="C359" s="749">
        <f>SUM(C349:C358)</f>
        <v>5592209</v>
      </c>
      <c r="D359" s="749">
        <f>SUM(D349:D358)</f>
        <v>5210032</v>
      </c>
      <c r="E359" s="749">
        <f>SUM(E349:E358)</f>
        <v>5210632</v>
      </c>
      <c r="F359" s="859">
        <f>E359/D359*100</f>
        <v>100.01151624404609</v>
      </c>
      <c r="G359" s="24"/>
    </row>
    <row r="360" spans="1:7" ht="13.5" thickBot="1" x14ac:dyDescent="0.25">
      <c r="A360" s="870" t="s">
        <v>72</v>
      </c>
      <c r="B360" s="871" t="s">
        <v>24</v>
      </c>
      <c r="C360" s="872" t="s">
        <v>156</v>
      </c>
      <c r="D360" s="872" t="s">
        <v>148</v>
      </c>
      <c r="E360" s="872" t="s">
        <v>149</v>
      </c>
      <c r="F360" s="873" t="s">
        <v>150</v>
      </c>
      <c r="G360" s="24"/>
    </row>
    <row r="361" spans="1:7" x14ac:dyDescent="0.2">
      <c r="A361" s="1526" t="s">
        <v>76</v>
      </c>
      <c r="B361" s="860" t="s">
        <v>88</v>
      </c>
      <c r="C361" s="853">
        <v>2942900</v>
      </c>
      <c r="D361" s="853">
        <v>3046900</v>
      </c>
      <c r="E361" s="853">
        <v>3046900</v>
      </c>
      <c r="F361" s="867">
        <f>E361/D361*100</f>
        <v>100</v>
      </c>
      <c r="G361" s="24"/>
    </row>
    <row r="362" spans="1:7" ht="25.5" x14ac:dyDescent="0.2">
      <c r="A362" s="1527"/>
      <c r="B362" s="862" t="s">
        <v>101</v>
      </c>
      <c r="C362" s="727">
        <v>540000</v>
      </c>
      <c r="D362" s="727">
        <v>563984</v>
      </c>
      <c r="E362" s="727">
        <v>563984</v>
      </c>
      <c r="F362" s="867">
        <f>E362/D362*100</f>
        <v>100</v>
      </c>
      <c r="G362" s="24"/>
    </row>
    <row r="363" spans="1:7" x14ac:dyDescent="0.2">
      <c r="A363" s="1527"/>
      <c r="B363" s="862" t="s">
        <v>90</v>
      </c>
      <c r="C363" s="727">
        <v>1073000</v>
      </c>
      <c r="D363" s="727">
        <v>776370</v>
      </c>
      <c r="E363" s="727">
        <v>776370</v>
      </c>
      <c r="F363" s="867">
        <f>E363/D363*100</f>
        <v>100</v>
      </c>
      <c r="G363" s="24"/>
    </row>
    <row r="364" spans="1:7" x14ac:dyDescent="0.2">
      <c r="A364" s="1527"/>
      <c r="B364" s="862" t="s">
        <v>102</v>
      </c>
      <c r="C364" s="727"/>
      <c r="D364" s="727"/>
      <c r="E364" s="727"/>
      <c r="F364" s="867"/>
      <c r="G364" s="24"/>
    </row>
    <row r="365" spans="1:7" ht="25.5" x14ac:dyDescent="0.2">
      <c r="A365" s="1527"/>
      <c r="B365" s="862" t="s">
        <v>97</v>
      </c>
      <c r="C365" s="727"/>
      <c r="D365" s="727"/>
      <c r="E365" s="727"/>
      <c r="F365" s="867"/>
      <c r="G365" s="24"/>
    </row>
    <row r="366" spans="1:7" x14ac:dyDescent="0.2">
      <c r="A366" s="1527"/>
      <c r="B366" s="862" t="s">
        <v>103</v>
      </c>
      <c r="C366" s="727"/>
      <c r="D366" s="727"/>
      <c r="E366" s="727"/>
      <c r="F366" s="867"/>
      <c r="G366" s="24"/>
    </row>
    <row r="367" spans="1:7" x14ac:dyDescent="0.2">
      <c r="A367" s="1527"/>
      <c r="B367" s="862" t="s">
        <v>92</v>
      </c>
      <c r="C367" s="727"/>
      <c r="D367" s="727"/>
      <c r="E367" s="727"/>
      <c r="F367" s="867"/>
      <c r="G367" s="24"/>
    </row>
    <row r="368" spans="1:7" x14ac:dyDescent="0.2">
      <c r="A368" s="1527"/>
      <c r="B368" s="862" t="s">
        <v>93</v>
      </c>
      <c r="C368" s="741"/>
      <c r="D368" s="741"/>
      <c r="E368" s="741"/>
      <c r="F368" s="867"/>
      <c r="G368" s="24"/>
    </row>
    <row r="369" spans="1:7" x14ac:dyDescent="0.2">
      <c r="A369" s="1527"/>
      <c r="B369" s="862" t="s">
        <v>94</v>
      </c>
      <c r="C369" s="741"/>
      <c r="D369" s="741"/>
      <c r="E369" s="741"/>
      <c r="F369" s="867"/>
      <c r="G369" s="24"/>
    </row>
    <row r="370" spans="1:7" ht="13.5" thickBot="1" x14ac:dyDescent="0.25">
      <c r="A370" s="1527"/>
      <c r="B370" s="863" t="s">
        <v>104</v>
      </c>
      <c r="C370" s="743"/>
      <c r="D370" s="743"/>
      <c r="E370" s="743"/>
      <c r="F370" s="868"/>
      <c r="G370" s="24"/>
    </row>
    <row r="371" spans="1:7" ht="13.5" thickBot="1" x14ac:dyDescent="0.25">
      <c r="A371" s="1527"/>
      <c r="B371" s="858" t="s">
        <v>14</v>
      </c>
      <c r="C371" s="749">
        <f>SUM(C361:C370)</f>
        <v>4555900</v>
      </c>
      <c r="D371" s="749">
        <f>SUM(D361:D370)</f>
        <v>4387254</v>
      </c>
      <c r="E371" s="749">
        <f>SUM(E361:E370)</f>
        <v>4387254</v>
      </c>
      <c r="F371" s="859">
        <f>E371/D371*100</f>
        <v>100</v>
      </c>
      <c r="G371" s="24"/>
    </row>
    <row r="372" spans="1:7" x14ac:dyDescent="0.2">
      <c r="A372" s="1526" t="s">
        <v>438</v>
      </c>
      <c r="B372" s="860" t="s">
        <v>88</v>
      </c>
      <c r="C372" s="853"/>
      <c r="D372" s="853"/>
      <c r="E372" s="853"/>
      <c r="F372" s="866"/>
      <c r="G372" s="24"/>
    </row>
    <row r="373" spans="1:7" ht="25.5" x14ac:dyDescent="0.2">
      <c r="A373" s="1527"/>
      <c r="B373" s="862" t="s">
        <v>101</v>
      </c>
      <c r="C373" s="727"/>
      <c r="D373" s="727"/>
      <c r="E373" s="727"/>
      <c r="F373" s="867"/>
      <c r="G373" s="24"/>
    </row>
    <row r="374" spans="1:7" x14ac:dyDescent="0.2">
      <c r="A374" s="1527"/>
      <c r="B374" s="862" t="s">
        <v>90</v>
      </c>
      <c r="C374" s="727">
        <v>150000</v>
      </c>
      <c r="D374" s="727">
        <v>1822244</v>
      </c>
      <c r="E374" s="727">
        <v>103247</v>
      </c>
      <c r="F374" s="867">
        <f>E374/D374*100</f>
        <v>5.6659261877114151</v>
      </c>
      <c r="G374" s="24"/>
    </row>
    <row r="375" spans="1:7" x14ac:dyDescent="0.2">
      <c r="A375" s="1527"/>
      <c r="B375" s="862" t="s">
        <v>102</v>
      </c>
      <c r="C375" s="727">
        <v>9348000</v>
      </c>
      <c r="D375" s="727">
        <v>8088919</v>
      </c>
      <c r="E375" s="727">
        <v>8088919</v>
      </c>
      <c r="F375" s="867">
        <f>E375/D375*100</f>
        <v>100</v>
      </c>
      <c r="G375" s="24"/>
    </row>
    <row r="376" spans="1:7" ht="25.5" x14ac:dyDescent="0.2">
      <c r="A376" s="1527"/>
      <c r="B376" s="862" t="s">
        <v>97</v>
      </c>
      <c r="C376" s="727">
        <v>400000</v>
      </c>
      <c r="D376" s="727">
        <v>6519659</v>
      </c>
      <c r="E376" s="727">
        <v>5614510</v>
      </c>
      <c r="F376" s="867">
        <f>E376/D376*100</f>
        <v>86.116620516502479</v>
      </c>
      <c r="G376" s="24"/>
    </row>
    <row r="377" spans="1:7" x14ac:dyDescent="0.2">
      <c r="A377" s="1527"/>
      <c r="B377" s="862" t="s">
        <v>103</v>
      </c>
      <c r="C377" s="727"/>
      <c r="D377" s="727"/>
      <c r="E377" s="727"/>
      <c r="F377" s="867"/>
      <c r="G377" s="24"/>
    </row>
    <row r="378" spans="1:7" x14ac:dyDescent="0.2">
      <c r="A378" s="1527"/>
      <c r="B378" s="862" t="s">
        <v>92</v>
      </c>
      <c r="C378" s="727"/>
      <c r="D378" s="727"/>
      <c r="E378" s="727"/>
      <c r="F378" s="867"/>
      <c r="G378" s="24"/>
    </row>
    <row r="379" spans="1:7" x14ac:dyDescent="0.2">
      <c r="A379" s="1527"/>
      <c r="B379" s="862" t="s">
        <v>93</v>
      </c>
      <c r="C379" s="741"/>
      <c r="D379" s="741"/>
      <c r="E379" s="741"/>
      <c r="F379" s="867"/>
      <c r="G379" s="24"/>
    </row>
    <row r="380" spans="1:7" x14ac:dyDescent="0.2">
      <c r="A380" s="1527"/>
      <c r="B380" s="862" t="s">
        <v>94</v>
      </c>
      <c r="C380" s="741"/>
      <c r="D380" s="741"/>
      <c r="E380" s="741"/>
      <c r="F380" s="867"/>
      <c r="G380" s="24"/>
    </row>
    <row r="381" spans="1:7" ht="13.5" thickBot="1" x14ac:dyDescent="0.25">
      <c r="A381" s="1527"/>
      <c r="B381" s="863" t="s">
        <v>104</v>
      </c>
      <c r="C381" s="743"/>
      <c r="D381" s="743"/>
      <c r="E381" s="743"/>
      <c r="F381" s="868"/>
      <c r="G381" s="24"/>
    </row>
    <row r="382" spans="1:7" ht="13.5" thickBot="1" x14ac:dyDescent="0.25">
      <c r="A382" s="1527"/>
      <c r="B382" s="858" t="s">
        <v>14</v>
      </c>
      <c r="C382" s="749">
        <f>SUM(C372:C381)</f>
        <v>9898000</v>
      </c>
      <c r="D382" s="749">
        <f>SUM(D372:D381)</f>
        <v>16430822</v>
      </c>
      <c r="E382" s="749">
        <f>SUM(E372:E381)</f>
        <v>13806676</v>
      </c>
      <c r="F382" s="859">
        <f>E382/D382*100</f>
        <v>84.029125262266248</v>
      </c>
      <c r="G382" s="24"/>
    </row>
    <row r="383" spans="1:7" x14ac:dyDescent="0.2">
      <c r="A383" s="1526" t="s">
        <v>439</v>
      </c>
      <c r="B383" s="860" t="s">
        <v>88</v>
      </c>
      <c r="C383" s="853"/>
      <c r="D383" s="853"/>
      <c r="E383" s="853"/>
      <c r="F383" s="861"/>
      <c r="G383" s="24"/>
    </row>
    <row r="384" spans="1:7" ht="25.5" x14ac:dyDescent="0.2">
      <c r="A384" s="1527"/>
      <c r="B384" s="862" t="s">
        <v>101</v>
      </c>
      <c r="C384" s="727"/>
      <c r="D384" s="727"/>
      <c r="E384" s="727"/>
      <c r="F384" s="854"/>
      <c r="G384" s="24"/>
    </row>
    <row r="385" spans="1:7" x14ac:dyDescent="0.2">
      <c r="A385" s="1527"/>
      <c r="B385" s="862" t="s">
        <v>90</v>
      </c>
      <c r="C385" s="727">
        <v>4572000</v>
      </c>
      <c r="D385" s="727">
        <v>1383603</v>
      </c>
      <c r="E385" s="727">
        <v>1383603</v>
      </c>
      <c r="F385" s="867">
        <f>E385/D385*100</f>
        <v>100</v>
      </c>
      <c r="G385" s="24"/>
    </row>
    <row r="386" spans="1:7" x14ac:dyDescent="0.2">
      <c r="A386" s="1527"/>
      <c r="B386" s="862" t="s">
        <v>102</v>
      </c>
      <c r="C386" s="727"/>
      <c r="D386" s="727"/>
      <c r="E386" s="727"/>
      <c r="F386" s="854"/>
      <c r="G386" s="24"/>
    </row>
    <row r="387" spans="1:7" ht="25.5" x14ac:dyDescent="0.2">
      <c r="A387" s="1527"/>
      <c r="B387" s="862" t="s">
        <v>97</v>
      </c>
      <c r="C387" s="727"/>
      <c r="D387" s="727"/>
      <c r="E387" s="727"/>
      <c r="F387" s="854"/>
      <c r="G387" s="24"/>
    </row>
    <row r="388" spans="1:7" x14ac:dyDescent="0.2">
      <c r="A388" s="1527"/>
      <c r="B388" s="862" t="s">
        <v>103</v>
      </c>
      <c r="C388" s="727"/>
      <c r="D388" s="727"/>
      <c r="E388" s="727"/>
      <c r="F388" s="854"/>
      <c r="G388" s="24"/>
    </row>
    <row r="389" spans="1:7" x14ac:dyDescent="0.2">
      <c r="A389" s="1527"/>
      <c r="B389" s="862" t="s">
        <v>92</v>
      </c>
      <c r="C389" s="727"/>
      <c r="D389" s="727"/>
      <c r="E389" s="727"/>
      <c r="F389" s="854"/>
      <c r="G389" s="24"/>
    </row>
    <row r="390" spans="1:7" x14ac:dyDescent="0.2">
      <c r="A390" s="1527"/>
      <c r="B390" s="862" t="s">
        <v>93</v>
      </c>
      <c r="C390" s="741"/>
      <c r="D390" s="741"/>
      <c r="E390" s="741"/>
      <c r="F390" s="854"/>
      <c r="G390" s="24"/>
    </row>
    <row r="391" spans="1:7" x14ac:dyDescent="0.2">
      <c r="A391" s="1527"/>
      <c r="B391" s="862" t="s">
        <v>94</v>
      </c>
      <c r="C391" s="741"/>
      <c r="D391" s="741"/>
      <c r="E391" s="741"/>
      <c r="F391" s="854"/>
      <c r="G391" s="24"/>
    </row>
    <row r="392" spans="1:7" ht="13.5" thickBot="1" x14ac:dyDescent="0.25">
      <c r="A392" s="1527"/>
      <c r="B392" s="863" t="s">
        <v>104</v>
      </c>
      <c r="C392" s="743"/>
      <c r="D392" s="743"/>
      <c r="E392" s="743"/>
      <c r="F392" s="864"/>
      <c r="G392" s="24"/>
    </row>
    <row r="393" spans="1:7" ht="13.5" thickBot="1" x14ac:dyDescent="0.25">
      <c r="A393" s="1527"/>
      <c r="B393" s="858" t="s">
        <v>14</v>
      </c>
      <c r="C393" s="749">
        <f>SUM(C383:C392)</f>
        <v>4572000</v>
      </c>
      <c r="D393" s="749">
        <f>SUM(D383:D392)</f>
        <v>1383603</v>
      </c>
      <c r="E393" s="749">
        <f>SUM(E383:E392)</f>
        <v>1383603</v>
      </c>
      <c r="F393" s="859">
        <f>E393/D393*100</f>
        <v>100</v>
      </c>
      <c r="G393" s="24"/>
    </row>
    <row r="394" spans="1:7" x14ac:dyDescent="0.2">
      <c r="A394" s="1526" t="s">
        <v>75</v>
      </c>
      <c r="B394" s="860" t="s">
        <v>88</v>
      </c>
      <c r="C394" s="853"/>
      <c r="D394" s="853"/>
      <c r="E394" s="853"/>
      <c r="F394" s="866"/>
      <c r="G394" s="24"/>
    </row>
    <row r="395" spans="1:7" ht="25.5" x14ac:dyDescent="0.2">
      <c r="A395" s="1527"/>
      <c r="B395" s="862" t="s">
        <v>101</v>
      </c>
      <c r="C395" s="727"/>
      <c r="D395" s="727"/>
      <c r="E395" s="727"/>
      <c r="F395" s="867"/>
      <c r="G395" s="24"/>
    </row>
    <row r="396" spans="1:7" x14ac:dyDescent="0.2">
      <c r="A396" s="1527"/>
      <c r="B396" s="862" t="s">
        <v>90</v>
      </c>
      <c r="C396" s="727">
        <v>2101227</v>
      </c>
      <c r="D396" s="727">
        <v>2780285</v>
      </c>
      <c r="E396" s="727">
        <v>2780285</v>
      </c>
      <c r="F396" s="867">
        <f>E396/D396*100</f>
        <v>100</v>
      </c>
      <c r="G396" s="24"/>
    </row>
    <row r="397" spans="1:7" x14ac:dyDescent="0.2">
      <c r="A397" s="1527"/>
      <c r="B397" s="862" t="s">
        <v>102</v>
      </c>
      <c r="C397" s="727"/>
      <c r="D397" s="727"/>
      <c r="E397" s="727"/>
      <c r="F397" s="867"/>
      <c r="G397" s="24"/>
    </row>
    <row r="398" spans="1:7" ht="25.5" x14ac:dyDescent="0.2">
      <c r="A398" s="1527"/>
      <c r="B398" s="862" t="s">
        <v>97</v>
      </c>
      <c r="C398" s="727"/>
      <c r="D398" s="727"/>
      <c r="E398" s="727"/>
      <c r="F398" s="867"/>
      <c r="G398" s="24"/>
    </row>
    <row r="399" spans="1:7" x14ac:dyDescent="0.2">
      <c r="A399" s="1527"/>
      <c r="B399" s="862" t="s">
        <v>103</v>
      </c>
      <c r="C399" s="727"/>
      <c r="D399" s="727"/>
      <c r="E399" s="727"/>
      <c r="F399" s="867"/>
      <c r="G399" s="24"/>
    </row>
    <row r="400" spans="1:7" x14ac:dyDescent="0.2">
      <c r="A400" s="1527"/>
      <c r="B400" s="862" t="s">
        <v>92</v>
      </c>
      <c r="C400" s="727"/>
      <c r="D400" s="727"/>
      <c r="E400" s="727"/>
      <c r="F400" s="867"/>
      <c r="G400" s="24"/>
    </row>
    <row r="401" spans="1:7" x14ac:dyDescent="0.2">
      <c r="A401" s="1527"/>
      <c r="B401" s="862" t="s">
        <v>93</v>
      </c>
      <c r="C401" s="741"/>
      <c r="D401" s="741"/>
      <c r="E401" s="741"/>
      <c r="F401" s="867"/>
      <c r="G401" s="24"/>
    </row>
    <row r="402" spans="1:7" x14ac:dyDescent="0.2">
      <c r="A402" s="1527"/>
      <c r="B402" s="862" t="s">
        <v>94</v>
      </c>
      <c r="C402" s="741"/>
      <c r="D402" s="741"/>
      <c r="E402" s="741"/>
      <c r="F402" s="867"/>
      <c r="G402" s="24"/>
    </row>
    <row r="403" spans="1:7" ht="13.5" thickBot="1" x14ac:dyDescent="0.25">
      <c r="A403" s="1527"/>
      <c r="B403" s="863" t="s">
        <v>104</v>
      </c>
      <c r="C403" s="743">
        <v>7554365</v>
      </c>
      <c r="D403" s="743">
        <v>7554365</v>
      </c>
      <c r="E403" s="743">
        <v>7554365</v>
      </c>
      <c r="F403" s="867">
        <f>E403/D403*100</f>
        <v>100</v>
      </c>
      <c r="G403" s="24"/>
    </row>
    <row r="404" spans="1:7" ht="13.5" thickBot="1" x14ac:dyDescent="0.25">
      <c r="A404" s="1527"/>
      <c r="B404" s="858" t="s">
        <v>14</v>
      </c>
      <c r="C404" s="749">
        <f>SUM(C394:C403)</f>
        <v>9655592</v>
      </c>
      <c r="D404" s="749">
        <f>SUM(D394:D403)</f>
        <v>10334650</v>
      </c>
      <c r="E404" s="749">
        <f>SUM(E394:E403)</f>
        <v>10334650</v>
      </c>
      <c r="F404" s="859">
        <f>E404/D404*100</f>
        <v>100</v>
      </c>
      <c r="G404" s="24"/>
    </row>
    <row r="405" spans="1:7" ht="13.5" thickBot="1" x14ac:dyDescent="0.25">
      <c r="A405" s="1529" t="s">
        <v>11</v>
      </c>
      <c r="B405" s="1135" t="s">
        <v>88</v>
      </c>
      <c r="C405" s="1138">
        <f>C5+C16+C27+C38+C49+C60+C71+C83+C94+C105+C116+C127+C138+C149+C161+C172+C183+C194+C205+C216+C227+C238+C249+C261+C272+C283+C294+C305+C316+C327+C338+C349+C361+C372+C383+C394</f>
        <v>120227307</v>
      </c>
      <c r="D405" s="1138">
        <f t="shared" ref="D405:E405" si="11">D5+D16+D27+D38+D49+D60+D71+D83+D94+D105+D116+D127+D138+D149+D161+D172+D183+D194+D205+D216+D227+D238+D249+D261+D272+D283+D294+D305+D316+D327+D338+D349+D361+D372+D383+D394</f>
        <v>477119516</v>
      </c>
      <c r="E405" s="1138">
        <f t="shared" si="11"/>
        <v>416078356</v>
      </c>
      <c r="F405" s="1006">
        <f>E405/D405*100</f>
        <v>87.206316666367513</v>
      </c>
    </row>
    <row r="406" spans="1:7" ht="26.25" thickBot="1" x14ac:dyDescent="0.25">
      <c r="A406" s="1530"/>
      <c r="B406" s="1136" t="s">
        <v>101</v>
      </c>
      <c r="C406" s="1138">
        <f t="shared" ref="C406:E414" si="12">C6+C17+C28+C39+C50+C61+C72+C84+C95+C106+C117+C128+C139+C150+C162+C173+C184+C195+C206+C217+C228+C239+C250+C262+C273+C284+C295+C306+C317+C328+C339+C350+C362+C373+C384+C395</f>
        <v>16254995</v>
      </c>
      <c r="D406" s="1138">
        <f t="shared" si="12"/>
        <v>60288102</v>
      </c>
      <c r="E406" s="1138">
        <f t="shared" si="12"/>
        <v>52198000</v>
      </c>
      <c r="F406" s="1149">
        <f t="shared" ref="F406:F415" si="13">E406/D406*100</f>
        <v>86.580931010234821</v>
      </c>
    </row>
    <row r="407" spans="1:7" ht="13.5" thickBot="1" x14ac:dyDescent="0.25">
      <c r="A407" s="1530"/>
      <c r="B407" s="1136" t="s">
        <v>90</v>
      </c>
      <c r="C407" s="1138">
        <f t="shared" si="12"/>
        <v>130865766</v>
      </c>
      <c r="D407" s="1138">
        <f t="shared" si="12"/>
        <v>174141014</v>
      </c>
      <c r="E407" s="1138">
        <f t="shared" si="12"/>
        <v>163148922</v>
      </c>
      <c r="F407" s="1006">
        <f t="shared" si="13"/>
        <v>93.687821296366167</v>
      </c>
    </row>
    <row r="408" spans="1:7" ht="19.5" customHeight="1" thickBot="1" x14ac:dyDescent="0.25">
      <c r="A408" s="1530"/>
      <c r="B408" s="1136" t="s">
        <v>102</v>
      </c>
      <c r="C408" s="1138">
        <f t="shared" si="12"/>
        <v>11298000</v>
      </c>
      <c r="D408" s="1138">
        <f t="shared" si="12"/>
        <v>17769099</v>
      </c>
      <c r="E408" s="1138">
        <f t="shared" si="12"/>
        <v>17717099</v>
      </c>
      <c r="F408" s="1149">
        <f t="shared" si="13"/>
        <v>99.707357137241459</v>
      </c>
    </row>
    <row r="409" spans="1:7" ht="26.25" thickBot="1" x14ac:dyDescent="0.25">
      <c r="A409" s="1530"/>
      <c r="B409" s="1136" t="s">
        <v>97</v>
      </c>
      <c r="C409" s="1138">
        <f t="shared" si="12"/>
        <v>78782952</v>
      </c>
      <c r="D409" s="1138">
        <f t="shared" si="12"/>
        <v>96460654</v>
      </c>
      <c r="E409" s="1138">
        <f t="shared" si="12"/>
        <v>95166055</v>
      </c>
      <c r="F409" s="1006">
        <f t="shared" si="13"/>
        <v>98.657899416688593</v>
      </c>
    </row>
    <row r="410" spans="1:7" ht="13.5" thickBot="1" x14ac:dyDescent="0.25">
      <c r="A410" s="1530"/>
      <c r="B410" s="1136" t="s">
        <v>103</v>
      </c>
      <c r="C410" s="1138">
        <f t="shared" si="12"/>
        <v>11996667</v>
      </c>
      <c r="D410" s="1138">
        <f t="shared" si="12"/>
        <v>2762116</v>
      </c>
      <c r="E410" s="1138">
        <f t="shared" si="12"/>
        <v>0</v>
      </c>
      <c r="F410" s="1149"/>
    </row>
    <row r="411" spans="1:7" ht="13.5" thickBot="1" x14ac:dyDescent="0.25">
      <c r="A411" s="1530"/>
      <c r="B411" s="1136" t="s">
        <v>92</v>
      </c>
      <c r="C411" s="1138">
        <f t="shared" si="12"/>
        <v>2377090290</v>
      </c>
      <c r="D411" s="1138">
        <f t="shared" si="12"/>
        <v>2366210727</v>
      </c>
      <c r="E411" s="1138">
        <f t="shared" si="12"/>
        <v>74662876</v>
      </c>
      <c r="F411" s="1006">
        <f t="shared" si="13"/>
        <v>3.1553772936640057</v>
      </c>
    </row>
    <row r="412" spans="1:7" ht="13.5" thickBot="1" x14ac:dyDescent="0.25">
      <c r="A412" s="1530"/>
      <c r="B412" s="1136" t="s">
        <v>93</v>
      </c>
      <c r="C412" s="1138">
        <f t="shared" si="12"/>
        <v>35192323</v>
      </c>
      <c r="D412" s="1138">
        <f t="shared" si="12"/>
        <v>67447358</v>
      </c>
      <c r="E412" s="1138">
        <f t="shared" si="12"/>
        <v>59619623</v>
      </c>
      <c r="F412" s="1006">
        <f t="shared" si="13"/>
        <v>88.394304488546453</v>
      </c>
    </row>
    <row r="413" spans="1:7" ht="13.5" thickBot="1" x14ac:dyDescent="0.25">
      <c r="A413" s="1530"/>
      <c r="B413" s="1136" t="s">
        <v>94</v>
      </c>
      <c r="C413" s="1138">
        <f t="shared" si="12"/>
        <v>0</v>
      </c>
      <c r="D413" s="1138">
        <f t="shared" si="12"/>
        <v>1500000</v>
      </c>
      <c r="E413" s="1138">
        <f t="shared" si="12"/>
        <v>1500000</v>
      </c>
      <c r="F413" s="1149">
        <f t="shared" si="13"/>
        <v>100</v>
      </c>
    </row>
    <row r="414" spans="1:7" ht="13.5" thickBot="1" x14ac:dyDescent="0.25">
      <c r="A414" s="1530"/>
      <c r="B414" s="1137" t="s">
        <v>104</v>
      </c>
      <c r="C414" s="1138">
        <f t="shared" si="12"/>
        <v>151516499</v>
      </c>
      <c r="D414" s="1138">
        <f t="shared" si="12"/>
        <v>163698590</v>
      </c>
      <c r="E414" s="1138">
        <f t="shared" si="12"/>
        <v>155074226</v>
      </c>
      <c r="F414" s="1006">
        <f t="shared" si="13"/>
        <v>94.731558775185547</v>
      </c>
    </row>
    <row r="415" spans="1:7" ht="13.5" thickBot="1" x14ac:dyDescent="0.25">
      <c r="A415" s="1531"/>
      <c r="B415" s="1007" t="s">
        <v>14</v>
      </c>
      <c r="C415" s="1151">
        <f>SUM(C405:C414)</f>
        <v>2933224799</v>
      </c>
      <c r="D415" s="1006">
        <f>SUM(D405:D414)</f>
        <v>3427397176</v>
      </c>
      <c r="E415" s="1152">
        <f>SUM(E405:E414)</f>
        <v>1035165157</v>
      </c>
      <c r="F415" s="1150">
        <f t="shared" si="13"/>
        <v>30.202661198668153</v>
      </c>
    </row>
    <row r="416" spans="1:7" x14ac:dyDescent="0.2">
      <c r="A416" s="1012"/>
      <c r="B416" s="1012"/>
      <c r="C416" s="1013"/>
      <c r="D416" s="1013"/>
      <c r="E416" s="1013"/>
      <c r="F416" s="1013"/>
    </row>
    <row r="417" spans="1:6" x14ac:dyDescent="0.2">
      <c r="A417" s="1012"/>
      <c r="B417" s="1012"/>
      <c r="C417" s="1013"/>
      <c r="D417" s="1013"/>
      <c r="E417" s="1013"/>
      <c r="F417" s="1013"/>
    </row>
    <row r="418" spans="1:6" x14ac:dyDescent="0.2">
      <c r="A418" s="1012"/>
      <c r="B418" s="1012"/>
      <c r="C418" s="1013"/>
      <c r="D418" s="1013"/>
      <c r="E418" s="1013"/>
      <c r="F418" s="1013"/>
    </row>
    <row r="419" spans="1:6" x14ac:dyDescent="0.2">
      <c r="A419" s="1012"/>
      <c r="B419" s="1012"/>
      <c r="C419" s="1013"/>
      <c r="D419" s="1013"/>
      <c r="E419" s="1013"/>
      <c r="F419" s="1013"/>
    </row>
    <row r="420" spans="1:6" x14ac:dyDescent="0.2">
      <c r="A420" s="1012"/>
      <c r="B420" s="1012"/>
      <c r="C420" s="1013"/>
      <c r="D420" s="1013"/>
      <c r="E420" s="1013"/>
      <c r="F420" s="1013"/>
    </row>
    <row r="421" spans="1:6" x14ac:dyDescent="0.2">
      <c r="A421" s="1012"/>
      <c r="B421" s="1012"/>
      <c r="C421" s="1013"/>
      <c r="D421" s="1013"/>
      <c r="E421" s="1013"/>
      <c r="F421" s="1013"/>
    </row>
    <row r="422" spans="1:6" x14ac:dyDescent="0.2">
      <c r="A422" s="1012"/>
      <c r="B422" s="1012"/>
      <c r="C422" s="1013"/>
      <c r="D422" s="1013"/>
      <c r="E422" s="1013"/>
      <c r="F422" s="1013"/>
    </row>
    <row r="423" spans="1:6" x14ac:dyDescent="0.2">
      <c r="A423" s="1012"/>
      <c r="B423" s="1012"/>
      <c r="C423" s="1013"/>
      <c r="D423" s="1013"/>
      <c r="E423" s="1013"/>
      <c r="F423" s="1013"/>
    </row>
    <row r="424" spans="1:6" x14ac:dyDescent="0.2">
      <c r="A424" s="1012"/>
      <c r="B424" s="1012"/>
      <c r="C424" s="1013"/>
      <c r="D424" s="1013"/>
      <c r="E424" s="1013"/>
      <c r="F424" s="1013"/>
    </row>
    <row r="425" spans="1:6" x14ac:dyDescent="0.2">
      <c r="A425" s="1012"/>
      <c r="B425" s="1012"/>
      <c r="C425" s="1013"/>
      <c r="D425" s="1013"/>
      <c r="E425" s="1013"/>
      <c r="F425" s="1013"/>
    </row>
    <row r="426" spans="1:6" x14ac:dyDescent="0.2">
      <c r="A426" s="1012"/>
      <c r="B426" s="1012"/>
      <c r="C426" s="1013"/>
      <c r="D426" s="1013"/>
      <c r="E426" s="1013"/>
      <c r="F426" s="1013"/>
    </row>
    <row r="427" spans="1:6" x14ac:dyDescent="0.2">
      <c r="A427" s="1012"/>
      <c r="B427" s="1012"/>
      <c r="C427" s="1013"/>
      <c r="D427" s="1013"/>
      <c r="E427" s="1013"/>
      <c r="F427" s="1013"/>
    </row>
    <row r="428" spans="1:6" x14ac:dyDescent="0.2">
      <c r="A428" s="1012"/>
      <c r="B428" s="1012"/>
      <c r="C428" s="1013"/>
      <c r="D428" s="1013"/>
      <c r="E428" s="1013"/>
      <c r="F428" s="1013"/>
    </row>
    <row r="429" spans="1:6" x14ac:dyDescent="0.2">
      <c r="A429" s="1012"/>
      <c r="B429" s="1012"/>
      <c r="C429" s="1013"/>
      <c r="D429" s="1013"/>
      <c r="E429" s="1013"/>
      <c r="F429" s="1013"/>
    </row>
    <row r="430" spans="1:6" x14ac:dyDescent="0.2">
      <c r="A430" s="1014"/>
      <c r="B430" s="1014"/>
      <c r="C430" s="1015"/>
      <c r="D430" s="1015"/>
      <c r="E430" s="1015"/>
      <c r="F430" s="1015"/>
    </row>
    <row r="431" spans="1:6" x14ac:dyDescent="0.2">
      <c r="B431" s="1012"/>
      <c r="C431" s="1016"/>
      <c r="D431" s="1016"/>
      <c r="E431" s="1016"/>
      <c r="F431" s="1016"/>
    </row>
    <row r="432" spans="1:6" x14ac:dyDescent="0.2">
      <c r="C432" s="1016"/>
      <c r="D432" s="1016"/>
      <c r="E432" s="1016"/>
      <c r="F432" s="1016"/>
    </row>
  </sheetData>
  <mergeCells count="39">
    <mergeCell ref="A349:A359"/>
    <mergeCell ref="A327:A337"/>
    <mergeCell ref="A338:A348"/>
    <mergeCell ref="A316:A326"/>
    <mergeCell ref="A205:A215"/>
    <mergeCell ref="A249:A259"/>
    <mergeCell ref="A261:A271"/>
    <mergeCell ref="A305:A315"/>
    <mergeCell ref="A216:A226"/>
    <mergeCell ref="A227:A237"/>
    <mergeCell ref="A238:A248"/>
    <mergeCell ref="A272:A282"/>
    <mergeCell ref="A405:A415"/>
    <mergeCell ref="A394:A404"/>
    <mergeCell ref="A361:A371"/>
    <mergeCell ref="A372:A382"/>
    <mergeCell ref="A383:A393"/>
    <mergeCell ref="A116:A126"/>
    <mergeCell ref="A172:A182"/>
    <mergeCell ref="A183:A193"/>
    <mergeCell ref="A194:A204"/>
    <mergeCell ref="A161:A171"/>
    <mergeCell ref="A149:A159"/>
    <mergeCell ref="A1:F1"/>
    <mergeCell ref="A5:A15"/>
    <mergeCell ref="A27:A37"/>
    <mergeCell ref="A38:A48"/>
    <mergeCell ref="A294:A304"/>
    <mergeCell ref="A49:A59"/>
    <mergeCell ref="E2:F2"/>
    <mergeCell ref="A16:A26"/>
    <mergeCell ref="A60:A70"/>
    <mergeCell ref="A71:A81"/>
    <mergeCell ref="A83:A93"/>
    <mergeCell ref="A105:A115"/>
    <mergeCell ref="A127:A137"/>
    <mergeCell ref="A138:A148"/>
    <mergeCell ref="A283:A293"/>
    <mergeCell ref="A94:A104"/>
  </mergeCells>
  <pageMargins left="0.74803149606299213" right="0.74803149606299213" top="0.98425196850393704" bottom="0.98425196850393704" header="0.51181102362204722" footer="0.51181102362204722"/>
  <pageSetup paperSize="9" scale="47" orientation="portrait" r:id="rId1"/>
  <headerFooter alignWithMargins="0">
    <oddHeader>&amp;R2.1. sz. melléklet
....../2019.(V.30.) Egyek Önk.</oddHeader>
  </headerFooter>
  <rowBreaks count="4" manualBreakCount="4">
    <brk id="81" max="5" man="1"/>
    <brk id="159" max="5" man="1"/>
    <brk id="259" max="5" man="1"/>
    <brk id="35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32</vt:i4>
      </vt:variant>
      <vt:variant>
        <vt:lpstr>Névvel ellátott tartományok</vt:lpstr>
      </vt:variant>
      <vt:variant>
        <vt:i4>17</vt:i4>
      </vt:variant>
    </vt:vector>
  </HeadingPairs>
  <TitlesOfParts>
    <vt:vector size="49" baseType="lpstr">
      <vt:lpstr>bevétel 1.m. </vt:lpstr>
      <vt:lpstr>Bevétel Önkormányzat 1.1 </vt:lpstr>
      <vt:lpstr>Bev.Önk.köt.ell.fel.1.1)a</vt:lpstr>
      <vt:lpstr>Bevétel Polg.Hivatal 1.2 </vt:lpstr>
      <vt:lpstr>Bev. Polg.H. köt.ell.fa 1.2)a</vt:lpstr>
      <vt:lpstr>Bevétel Könyvtár-Műv.h. 1.3</vt:lpstr>
      <vt:lpstr>Bev.Könyv.-Műv.h. köt.ell 1.3a </vt:lpstr>
      <vt:lpstr>Kiadások2</vt:lpstr>
      <vt:lpstr>önkormányzat kiadásai 2.1. </vt:lpstr>
      <vt:lpstr>önk.kiad.köt.fel.2.1)a</vt:lpstr>
      <vt:lpstr>Polg.Hivatal kiadásai 2.2</vt:lpstr>
      <vt:lpstr>Polg.Hiv.kiad.köt.fel.2.2)a</vt:lpstr>
      <vt:lpstr>Könyvtár és Műv.H. kiadásai 2.3</vt:lpstr>
      <vt:lpstr>Könyvtár és Műv.H.köt.fel.2.3)a</vt:lpstr>
      <vt:lpstr>Működési kiadások3</vt:lpstr>
      <vt:lpstr>Mérleg4</vt:lpstr>
      <vt:lpstr>Működési és felh. mérl.5</vt:lpstr>
      <vt:lpstr>Maradvány Önk_6_1_m_</vt:lpstr>
      <vt:lpstr>Maradvány Polg_Hiv_6_2_m_ </vt:lpstr>
      <vt:lpstr>Maradvány Tárkányi B_ 6_3_m</vt:lpstr>
      <vt:lpstr>részesedések 7.m.</vt:lpstr>
      <vt:lpstr>Támogatás elsz.8.m.</vt:lpstr>
      <vt:lpstr>Vagyonkim. Önkorm. 9.m. </vt:lpstr>
      <vt:lpstr>Adósságállomány Önk. 10.1.m.</vt:lpstr>
      <vt:lpstr>Adósságállomány Polg.H 10.2.m. </vt:lpstr>
      <vt:lpstr>Adósságállomány Tárk. B.10.3.m.</vt:lpstr>
      <vt:lpstr>Közvetett tám.11.m.</vt:lpstr>
      <vt:lpstr>Pénzeszk_vál_ Önk_ 12.1.m_ </vt:lpstr>
      <vt:lpstr>Pénzeszk_vál_ Polg_ Hiv_12.2.m </vt:lpstr>
      <vt:lpstr>Pénzeszk_vál_ Tárkányi B_12.3.m</vt:lpstr>
      <vt:lpstr>Adósságot kel.13.mell.</vt:lpstr>
      <vt:lpstr>Többéves kihat.14.mell.</vt:lpstr>
      <vt:lpstr>'Bev. Polg.H. köt.ell.fa 1.2)a'!Nyomtatási_terület</vt:lpstr>
      <vt:lpstr>'Bev.Önk.köt.ell.fel.1.1)a'!Nyomtatási_terület</vt:lpstr>
      <vt:lpstr>'bevétel 1.m. '!Nyomtatási_terület</vt:lpstr>
      <vt:lpstr>'Bevétel Önkormányzat 1.1 '!Nyomtatási_terület</vt:lpstr>
      <vt:lpstr>'Bevétel Polg.Hivatal 1.2 '!Nyomtatási_terület</vt:lpstr>
      <vt:lpstr>Kiadások2!Nyomtatási_terület</vt:lpstr>
      <vt:lpstr>'Közvetett tám.11.m.'!Nyomtatási_terület</vt:lpstr>
      <vt:lpstr>'Maradvány Önk_6_1_m_'!Nyomtatási_terület</vt:lpstr>
      <vt:lpstr>'Maradvány Polg_Hiv_6_2_m_ '!Nyomtatási_terület</vt:lpstr>
      <vt:lpstr>'Maradvány Tárkányi B_ 6_3_m'!Nyomtatási_terület</vt:lpstr>
      <vt:lpstr>'Működési kiadások3'!Nyomtatási_terület</vt:lpstr>
      <vt:lpstr>'önk.kiad.köt.fel.2.1)a'!Nyomtatási_terület</vt:lpstr>
      <vt:lpstr>'önkormányzat kiadásai 2.1. '!Nyomtatási_terület</vt:lpstr>
      <vt:lpstr>'Polg.Hiv.kiad.köt.fel.2.2)a'!Nyomtatási_terület</vt:lpstr>
      <vt:lpstr>'Polg.Hivatal kiadásai 2.2'!Nyomtatási_terület</vt:lpstr>
      <vt:lpstr>'Támogatás elsz.8.m.'!Nyomtatási_terület</vt:lpstr>
      <vt:lpstr>'Vagyonkim. Önkorm. 9.m. '!Nyomtatási_terület</vt:lpstr>
    </vt:vector>
  </TitlesOfParts>
  <Company>kincstár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Szekeres Zsuzsanna</dc:creator>
  <cp:lastModifiedBy>Windows-felhasználó</cp:lastModifiedBy>
  <cp:lastPrinted>2019-05-29T09:55:56Z</cp:lastPrinted>
  <dcterms:created xsi:type="dcterms:W3CDTF">1999-11-19T07:39:00Z</dcterms:created>
  <dcterms:modified xsi:type="dcterms:W3CDTF">2019-06-17T12:41:30Z</dcterms:modified>
</cp:coreProperties>
</file>