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60" windowWidth="20490" windowHeight="7560" firstSheet="19" activeTab="27"/>
  </bookViews>
  <sheets>
    <sheet name="bevétel 2.m. " sheetId="98" r:id="rId1"/>
    <sheet name="Bevétel Önkormányzat 2.1 " sheetId="99" r:id="rId2"/>
    <sheet name="Bevétel Önk.köt.fel. 2.1)a" sheetId="145" r:id="rId3"/>
    <sheet name="Bevétel önk.önként váll.2.1)b" sheetId="151" r:id="rId4"/>
    <sheet name="Bevétel Polg.Hivatal 2.2 " sheetId="100" r:id="rId5"/>
    <sheet name="Bev. Polg.Hiv. köt.fel. 2.2)a" sheetId="146" r:id="rId6"/>
    <sheet name="Bevétel Könyvtár-Műv.h. 2.3. " sheetId="101" r:id="rId7"/>
    <sheet name="Bev.Könyvt.Műv.h.köt.fel.2.3)a" sheetId="119" r:id="rId8"/>
    <sheet name="Támogatás 2.4" sheetId="58" r:id="rId9"/>
    <sheet name="Kiadások3" sheetId="71" r:id="rId10"/>
    <sheet name="önkormányzat kiadásai 3.1. " sheetId="120" r:id="rId11"/>
    <sheet name="önk.köt.fel.kiadásai 3.1.)a" sheetId="147" r:id="rId12"/>
    <sheet name="Önk.önként.váll.fel.kiad.3.1.)b" sheetId="150" r:id="rId13"/>
    <sheet name="Polg.Hivatal kiadásai 3.2" sheetId="73" r:id="rId14"/>
    <sheet name="Polg.Hivatal kiadásai 3.2)a" sheetId="140" r:id="rId15"/>
    <sheet name="Könyvtár és Műv.H. kiadásai 3.3" sheetId="83" r:id="rId16"/>
    <sheet name="Könyvtár és Műv.H. k 3.3)a" sheetId="142" r:id="rId17"/>
    <sheet name="Működési kiadások4" sheetId="72" r:id="rId18"/>
    <sheet name="Felhalmozás 5.mell." sheetId="137" r:id="rId19"/>
    <sheet name="6. m.Többéves kih." sheetId="148" r:id="rId20"/>
    <sheet name="Mérleg7 " sheetId="102" r:id="rId21"/>
    <sheet name="Előirányzat felh.8" sheetId="77" r:id="rId22"/>
    <sheet name="Közvetett tám.-k 9. " sheetId="129" r:id="rId23"/>
    <sheet name="mérleg 3 éves 10.m." sheetId="68" r:id="rId24"/>
    <sheet name="Tartalék 11." sheetId="81" r:id="rId25"/>
    <sheet name="Eu-s pály. 12." sheetId="82" r:id="rId26"/>
    <sheet name="13. melléklet" sheetId="149" r:id="rId27"/>
    <sheet name="14.sz.mell." sheetId="97" r:id="rId28"/>
  </sheets>
  <definedNames>
    <definedName name="_xlnm.Print_Titles" localSheetId="8">'Támogatás 2.4'!$4:$6</definedName>
    <definedName name="_xlnm.Print_Area" localSheetId="5">'Bev. Polg.Hiv. köt.fel. 2.2)a'!$A$1:$J$10</definedName>
    <definedName name="_xlnm.Print_Area" localSheetId="7">'Bev.Könyvt.Műv.h.köt.fel.2.3)a'!$A$1:$J$12</definedName>
    <definedName name="_xlnm.Print_Area" localSheetId="0">'bevétel 2.m. '!$A$1:$I$45</definedName>
    <definedName name="_xlnm.Print_Area" localSheetId="4">'Bevétel Polg.Hivatal 2.2 '!$A$1:$J$10</definedName>
    <definedName name="_xlnm.Print_Area" localSheetId="9">Kiadások3!$A$1:$J$29</definedName>
    <definedName name="_xlnm.Print_Area" localSheetId="23">'mérleg 3 éves 10.m.'!$A$1:$I$35</definedName>
    <definedName name="_xlnm.Print_Area" localSheetId="20">'Mérleg7 '!$A$1:$F$64</definedName>
    <definedName name="_xlnm.Print_Area" localSheetId="11">'önk.köt.fel.kiadásai 3.1.)a'!$A$1:$L$29</definedName>
    <definedName name="_xlnm.Print_Area" localSheetId="10">'önkormányzat kiadásai 3.1. '!$A$1:$L$35</definedName>
    <definedName name="_xlnm.Print_Area" localSheetId="13">'Polg.Hivatal kiadásai 3.2'!$A$1:$L$12</definedName>
    <definedName name="_xlnm.Print_Area" localSheetId="14">'Polg.Hivatal kiadásai 3.2)a'!$A$1:$L$12</definedName>
    <definedName name="_xlnm.Print_Area" localSheetId="8">'Támogatás 2.4'!$A$4:$H$22</definedName>
    <definedName name="_xlnm.Print_Area" localSheetId="24">'Tartalék 11.'!$A$1:$H$25</definedName>
  </definedNames>
  <calcPr calcId="145621"/>
</workbook>
</file>

<file path=xl/calcChain.xml><?xml version="1.0" encoding="utf-8"?>
<calcChain xmlns="http://schemas.openxmlformats.org/spreadsheetml/2006/main">
  <c r="J25" i="149" l="1"/>
  <c r="F25" i="149"/>
  <c r="G25" i="149"/>
  <c r="H25" i="149"/>
  <c r="I25" i="149"/>
  <c r="K25" i="149"/>
  <c r="L25" i="149"/>
  <c r="M25" i="149"/>
  <c r="N25" i="149"/>
  <c r="E25" i="149"/>
  <c r="D20" i="149"/>
  <c r="C20" i="149"/>
  <c r="E20" i="149"/>
  <c r="F20" i="149"/>
  <c r="G18" i="149"/>
  <c r="H12" i="68"/>
  <c r="H27" i="68"/>
  <c r="G9" i="77"/>
  <c r="O9" i="77"/>
  <c r="M9" i="77"/>
  <c r="D28" i="77"/>
  <c r="I10" i="147"/>
  <c r="J10" i="99"/>
  <c r="I27" i="98" l="1"/>
  <c r="H27" i="98"/>
  <c r="H15" i="72" l="1"/>
  <c r="C40" i="98"/>
  <c r="I40" i="98"/>
  <c r="D21" i="148" l="1"/>
  <c r="D33" i="148"/>
  <c r="D59" i="148"/>
  <c r="E31" i="148"/>
  <c r="D27" i="148"/>
  <c r="E27" i="148" s="1"/>
  <c r="D25" i="148"/>
  <c r="D24" i="148"/>
  <c r="E22" i="148"/>
  <c r="D58" i="148"/>
  <c r="D55" i="148"/>
  <c r="D53" i="148"/>
  <c r="D51" i="148"/>
  <c r="D50" i="148"/>
  <c r="D49" i="148"/>
  <c r="D48" i="148"/>
  <c r="D47" i="148"/>
  <c r="D46" i="148"/>
  <c r="D45" i="148"/>
  <c r="D44" i="148"/>
  <c r="D43" i="148"/>
  <c r="D42" i="148"/>
  <c r="D41" i="148"/>
  <c r="E40" i="148"/>
  <c r="D40" i="148" s="1"/>
  <c r="I40" i="148" s="1"/>
  <c r="D39" i="148"/>
  <c r="I39" i="148" s="1"/>
  <c r="D38" i="148"/>
  <c r="I38" i="148" s="1"/>
  <c r="D37" i="148"/>
  <c r="D36" i="148"/>
  <c r="D35" i="148"/>
  <c r="G12" i="148"/>
  <c r="E12" i="148"/>
  <c r="I6" i="148"/>
  <c r="D5" i="148"/>
  <c r="F5" i="148"/>
  <c r="G5" i="148"/>
  <c r="H5" i="148"/>
  <c r="E5" i="148"/>
  <c r="C78" i="148"/>
  <c r="D78" i="148"/>
  <c r="E78" i="148"/>
  <c r="F78" i="148"/>
  <c r="G78" i="148"/>
  <c r="H78" i="148"/>
  <c r="I78" i="148"/>
  <c r="J78" i="148"/>
  <c r="K78" i="148"/>
  <c r="B78" i="148"/>
  <c r="H9" i="148"/>
  <c r="G9" i="148"/>
  <c r="F9" i="148"/>
  <c r="E9" i="148"/>
  <c r="H11" i="148"/>
  <c r="G11" i="148"/>
  <c r="F11" i="148"/>
  <c r="E11" i="148"/>
  <c r="H10" i="148"/>
  <c r="G10" i="148"/>
  <c r="F10" i="148"/>
  <c r="E10" i="148"/>
  <c r="H8" i="148"/>
  <c r="G8" i="148"/>
  <c r="F8" i="148"/>
  <c r="E8" i="148"/>
  <c r="D8" i="148" s="1"/>
  <c r="D17" i="148"/>
  <c r="H12" i="148"/>
  <c r="F12" i="148"/>
  <c r="H13" i="148"/>
  <c r="G13" i="148"/>
  <c r="F13" i="148"/>
  <c r="E13" i="148"/>
  <c r="H14" i="148"/>
  <c r="G14" i="148"/>
  <c r="F14" i="148"/>
  <c r="E14" i="148"/>
  <c r="H15" i="148"/>
  <c r="G15" i="148"/>
  <c r="F15" i="148"/>
  <c r="E15" i="148"/>
  <c r="H18" i="148"/>
  <c r="G18" i="148"/>
  <c r="F18" i="148"/>
  <c r="E18" i="148"/>
  <c r="I18" i="148" s="1"/>
  <c r="H20" i="148"/>
  <c r="G20" i="148"/>
  <c r="F20" i="148"/>
  <c r="E20" i="148"/>
  <c r="H19" i="148"/>
  <c r="G19" i="148"/>
  <c r="F19" i="148"/>
  <c r="E19" i="148"/>
  <c r="H17" i="148"/>
  <c r="G17" i="148"/>
  <c r="F17" i="148"/>
  <c r="E17" i="148"/>
  <c r="H16" i="148"/>
  <c r="G16" i="148"/>
  <c r="F16" i="148"/>
  <c r="E16" i="148"/>
  <c r="D16" i="148"/>
  <c r="D36" i="137"/>
  <c r="D32" i="137"/>
  <c r="D30" i="137"/>
  <c r="D29" i="137"/>
  <c r="D22" i="137"/>
  <c r="D37" i="137" s="1"/>
  <c r="D27" i="137"/>
  <c r="D25" i="137"/>
  <c r="D24" i="137"/>
  <c r="I16" i="148" l="1"/>
  <c r="I5" i="148"/>
  <c r="D7" i="137"/>
  <c r="D11" i="137" s="1"/>
  <c r="J28" i="77"/>
  <c r="C28" i="77"/>
  <c r="H28" i="77"/>
  <c r="G28" i="77"/>
  <c r="F28" i="77"/>
  <c r="K28" i="77"/>
  <c r="L29" i="77"/>
  <c r="I28" i="77"/>
  <c r="M22" i="77"/>
  <c r="L22" i="77"/>
  <c r="K22" i="77"/>
  <c r="J22" i="77"/>
  <c r="I22" i="77"/>
  <c r="H22" i="77"/>
  <c r="G22" i="77"/>
  <c r="F22" i="77"/>
  <c r="E22" i="77"/>
  <c r="D22" i="77"/>
  <c r="C22" i="77"/>
  <c r="N16" i="77"/>
  <c r="M16" i="77"/>
  <c r="L16" i="77"/>
  <c r="J16" i="77"/>
  <c r="C16" i="77"/>
  <c r="I16" i="77"/>
  <c r="M12" i="77"/>
  <c r="L12" i="77"/>
  <c r="K12" i="77"/>
  <c r="J12" i="77"/>
  <c r="I12" i="77"/>
  <c r="H12" i="77"/>
  <c r="F12" i="77"/>
  <c r="G12" i="77"/>
  <c r="E12" i="77"/>
  <c r="D12" i="77"/>
  <c r="C12" i="77"/>
  <c r="H11" i="68" l="1"/>
  <c r="H17" i="68"/>
  <c r="H14" i="68"/>
  <c r="D14" i="68"/>
  <c r="G11" i="68"/>
  <c r="E8" i="82"/>
  <c r="I8" i="82" s="1"/>
  <c r="G9" i="82"/>
  <c r="G7" i="82"/>
  <c r="E7" i="82"/>
  <c r="I7" i="82"/>
  <c r="I9" i="82"/>
  <c r="I10" i="82"/>
  <c r="I11" i="82"/>
  <c r="E11" i="82"/>
  <c r="E10" i="82"/>
  <c r="E9" i="82"/>
  <c r="F35" i="102"/>
  <c r="F16" i="102" l="1"/>
  <c r="C34" i="72"/>
  <c r="C15" i="72"/>
  <c r="F31" i="72" l="1"/>
  <c r="C11" i="72"/>
  <c r="C9" i="72"/>
  <c r="K33" i="147"/>
  <c r="J33" i="147"/>
  <c r="I33" i="147"/>
  <c r="H33" i="147"/>
  <c r="G33" i="147"/>
  <c r="F33" i="147"/>
  <c r="E33" i="147"/>
  <c r="D33" i="147"/>
  <c r="C33" i="147"/>
  <c r="B33" i="147"/>
  <c r="L32" i="147"/>
  <c r="L31" i="147"/>
  <c r="L30" i="147"/>
  <c r="L29" i="147"/>
  <c r="L28" i="147"/>
  <c r="L27" i="147"/>
  <c r="L26" i="147"/>
  <c r="L25" i="147"/>
  <c r="L24" i="147"/>
  <c r="L23" i="147"/>
  <c r="L22" i="147"/>
  <c r="L21" i="147"/>
  <c r="L20" i="147"/>
  <c r="L19" i="147"/>
  <c r="L18" i="147"/>
  <c r="L17" i="147"/>
  <c r="L16" i="147"/>
  <c r="L15" i="147"/>
  <c r="L14" i="147"/>
  <c r="L13" i="147"/>
  <c r="L12" i="147"/>
  <c r="L11" i="147"/>
  <c r="L10" i="147"/>
  <c r="L9" i="147"/>
  <c r="L8" i="147"/>
  <c r="L33" i="147" l="1"/>
  <c r="L25" i="120" l="1"/>
  <c r="L19" i="120" l="1"/>
  <c r="L17" i="120"/>
  <c r="L16" i="120" l="1"/>
  <c r="L12" i="120"/>
  <c r="H15" i="58"/>
  <c r="H16" i="58"/>
  <c r="H7" i="58" s="1"/>
  <c r="H19" i="58"/>
  <c r="H20" i="58"/>
  <c r="H21" i="58" s="1"/>
  <c r="H22" i="58"/>
  <c r="H23" i="58" s="1"/>
  <c r="I26" i="145" l="1"/>
  <c r="H26" i="145"/>
  <c r="G26" i="145"/>
  <c r="F26" i="145"/>
  <c r="E26" i="145"/>
  <c r="D26" i="145"/>
  <c r="C26" i="145"/>
  <c r="B26" i="145"/>
  <c r="J25" i="145"/>
  <c r="J24" i="145"/>
  <c r="J23" i="145"/>
  <c r="J22" i="145"/>
  <c r="J21" i="145"/>
  <c r="J20" i="145"/>
  <c r="J19" i="145"/>
  <c r="J18" i="145"/>
  <c r="J17" i="145"/>
  <c r="J16" i="145"/>
  <c r="J15" i="145"/>
  <c r="J14" i="145"/>
  <c r="J13" i="145"/>
  <c r="J12" i="145"/>
  <c r="J11" i="145"/>
  <c r="J10" i="145"/>
  <c r="J9" i="145"/>
  <c r="J8" i="145"/>
  <c r="J10" i="151"/>
  <c r="J9" i="151"/>
  <c r="J26" i="145" l="1"/>
  <c r="C28" i="99"/>
  <c r="D28" i="99"/>
  <c r="E28" i="99"/>
  <c r="F28" i="99"/>
  <c r="G28" i="99"/>
  <c r="H28" i="99"/>
  <c r="I28" i="99"/>
  <c r="B28" i="99"/>
  <c r="J24" i="99"/>
  <c r="J19" i="99"/>
  <c r="J16" i="99"/>
  <c r="J17" i="99"/>
  <c r="J12" i="99"/>
  <c r="C23" i="98"/>
  <c r="C18" i="71"/>
  <c r="K12" i="142"/>
  <c r="J12" i="142"/>
  <c r="I12" i="142"/>
  <c r="H12" i="142"/>
  <c r="G12" i="142"/>
  <c r="F12" i="142"/>
  <c r="E12" i="142"/>
  <c r="D12" i="142"/>
  <c r="C12" i="142"/>
  <c r="B12" i="142"/>
  <c r="L11" i="142"/>
  <c r="L10" i="142"/>
  <c r="L12" i="142" s="1"/>
  <c r="L9" i="142"/>
  <c r="L8" i="142"/>
  <c r="K12" i="140"/>
  <c r="J12" i="140"/>
  <c r="I12" i="140"/>
  <c r="H12" i="140"/>
  <c r="G12" i="140"/>
  <c r="F12" i="140"/>
  <c r="E12" i="140"/>
  <c r="D12" i="140"/>
  <c r="C12" i="140"/>
  <c r="L12" i="140" s="1"/>
  <c r="B12" i="140"/>
  <c r="L11" i="140"/>
  <c r="L10" i="140"/>
  <c r="G12" i="68" l="1"/>
  <c r="F12" i="68"/>
  <c r="G13" i="68"/>
  <c r="F13" i="68"/>
  <c r="G27" i="68"/>
  <c r="F27" i="68"/>
  <c r="G15" i="68"/>
  <c r="F15" i="68"/>
  <c r="G25" i="68" l="1"/>
  <c r="F25" i="68"/>
  <c r="G16" i="68"/>
  <c r="F16" i="68"/>
  <c r="G28" i="68"/>
  <c r="F28" i="68"/>
  <c r="C28" i="68" l="1"/>
  <c r="C27" i="68"/>
  <c r="C26" i="68"/>
  <c r="C14" i="68"/>
  <c r="C13" i="68"/>
  <c r="C12" i="68"/>
  <c r="C11" i="68"/>
  <c r="D30" i="68"/>
  <c r="D17" i="68"/>
  <c r="D45" i="102"/>
  <c r="B10" i="68" s="1"/>
  <c r="B28" i="68"/>
  <c r="B27" i="68"/>
  <c r="B26" i="68"/>
  <c r="B14" i="68"/>
  <c r="B13" i="68"/>
  <c r="B12" i="68"/>
  <c r="B11" i="68"/>
  <c r="B30" i="68" l="1"/>
  <c r="C30" i="68"/>
  <c r="B23" i="98"/>
  <c r="B20" i="98" l="1"/>
  <c r="B33" i="98" s="1"/>
  <c r="C20" i="98"/>
  <c r="D30" i="129" l="1"/>
  <c r="G7" i="149" l="1"/>
  <c r="F11" i="72" l="1"/>
  <c r="L13" i="150" l="1"/>
  <c r="L8" i="150"/>
  <c r="I11" i="151" l="1"/>
  <c r="H11" i="151"/>
  <c r="G11" i="151"/>
  <c r="F11" i="151"/>
  <c r="E11" i="151"/>
  <c r="D11" i="151"/>
  <c r="C11" i="151"/>
  <c r="B11" i="151"/>
  <c r="J8" i="151"/>
  <c r="K17" i="150"/>
  <c r="J17" i="150"/>
  <c r="I17" i="150"/>
  <c r="H17" i="150"/>
  <c r="G17" i="150"/>
  <c r="F17" i="150"/>
  <c r="E17" i="150"/>
  <c r="D17" i="150"/>
  <c r="C17" i="150"/>
  <c r="B17" i="150"/>
  <c r="L16" i="150"/>
  <c r="L15" i="150"/>
  <c r="L14" i="150"/>
  <c r="L12" i="150"/>
  <c r="L11" i="150"/>
  <c r="L10" i="150"/>
  <c r="L9" i="150"/>
  <c r="L17" i="150" l="1"/>
  <c r="J11" i="151"/>
  <c r="F7" i="148"/>
  <c r="I19" i="148" l="1"/>
  <c r="I20" i="148"/>
  <c r="G17" i="149"/>
  <c r="G19" i="149"/>
  <c r="G16" i="149"/>
  <c r="F22" i="102" l="1"/>
  <c r="F19" i="102" s="1"/>
  <c r="E22" i="102"/>
  <c r="E19" i="102" s="1"/>
  <c r="E35" i="102"/>
  <c r="G14" i="68" s="1"/>
  <c r="B18" i="71" l="1"/>
  <c r="I56" i="148" l="1"/>
  <c r="I31" i="148"/>
  <c r="I26" i="148"/>
  <c r="I23" i="148"/>
  <c r="I25" i="148" l="1"/>
  <c r="I53" i="148"/>
  <c r="I54" i="148"/>
  <c r="I55" i="148"/>
  <c r="I57" i="148"/>
  <c r="I32" i="148"/>
  <c r="H7" i="148"/>
  <c r="G21" i="148"/>
  <c r="H21" i="148"/>
  <c r="I17" i="148"/>
  <c r="E7" i="148"/>
  <c r="E52" i="102"/>
  <c r="F52" i="102"/>
  <c r="D58" i="102"/>
  <c r="D52" i="102"/>
  <c r="H30" i="68"/>
  <c r="B16" i="68" l="1"/>
  <c r="B17" i="68" s="1"/>
  <c r="B32" i="68" s="1"/>
  <c r="D62" i="102"/>
  <c r="H32" i="68"/>
  <c r="D7" i="148"/>
  <c r="N27" i="149" l="1"/>
  <c r="M27" i="149"/>
  <c r="L27" i="149"/>
  <c r="K27" i="149"/>
  <c r="J27" i="149"/>
  <c r="I27" i="149"/>
  <c r="H27" i="149"/>
  <c r="G27" i="149"/>
  <c r="F27" i="149"/>
  <c r="E27" i="149"/>
  <c r="G15" i="149"/>
  <c r="G14" i="149"/>
  <c r="G13" i="149"/>
  <c r="G12" i="149"/>
  <c r="G11" i="149"/>
  <c r="G10" i="149"/>
  <c r="G9" i="149"/>
  <c r="G8" i="149"/>
  <c r="G6" i="149"/>
  <c r="G20" i="149" l="1"/>
  <c r="B33" i="77"/>
  <c r="I12" i="82" l="1"/>
  <c r="F27" i="72"/>
  <c r="F16" i="72"/>
  <c r="L33" i="120"/>
  <c r="J25" i="99" l="1"/>
  <c r="J8" i="100" l="1"/>
  <c r="E21" i="148" l="1"/>
  <c r="I30" i="148" l="1"/>
  <c r="I22" i="148"/>
  <c r="I24" i="148"/>
  <c r="I27" i="148"/>
  <c r="I28" i="148"/>
  <c r="I34" i="148"/>
  <c r="I58" i="148" l="1"/>
  <c r="I52" i="148"/>
  <c r="I51" i="148"/>
  <c r="I50" i="148"/>
  <c r="I49" i="148"/>
  <c r="I48" i="148"/>
  <c r="I47" i="148"/>
  <c r="I46" i="148"/>
  <c r="I45" i="148"/>
  <c r="I44" i="148"/>
  <c r="I43" i="148"/>
  <c r="I42" i="148"/>
  <c r="I41" i="148"/>
  <c r="I37" i="148"/>
  <c r="I35" i="148"/>
  <c r="H33" i="148"/>
  <c r="G33" i="148"/>
  <c r="F33" i="148"/>
  <c r="E33" i="148"/>
  <c r="I15" i="148"/>
  <c r="I14" i="148"/>
  <c r="I13" i="148"/>
  <c r="I12" i="148"/>
  <c r="I11" i="148"/>
  <c r="I10" i="148"/>
  <c r="I9" i="148"/>
  <c r="G7" i="148"/>
  <c r="E59" i="148" l="1"/>
  <c r="H59" i="148"/>
  <c r="G59" i="148"/>
  <c r="H18" i="81"/>
  <c r="H14" i="81"/>
  <c r="D21" i="129"/>
  <c r="L28" i="120" l="1"/>
  <c r="I12" i="119" l="1"/>
  <c r="H12" i="119"/>
  <c r="G12" i="119"/>
  <c r="F12" i="119"/>
  <c r="E12" i="119"/>
  <c r="D12" i="119"/>
  <c r="C12" i="119"/>
  <c r="B12" i="119"/>
  <c r="J11" i="119"/>
  <c r="E11" i="119"/>
  <c r="J10" i="119"/>
  <c r="J9" i="119"/>
  <c r="J8" i="119"/>
  <c r="E8" i="119"/>
  <c r="I10" i="146"/>
  <c r="H10" i="146"/>
  <c r="G10" i="146"/>
  <c r="F10" i="146"/>
  <c r="E10" i="146"/>
  <c r="D10" i="146"/>
  <c r="C10" i="146"/>
  <c r="B10" i="146"/>
  <c r="J9" i="146"/>
  <c r="J8" i="146"/>
  <c r="J21" i="99"/>
  <c r="J22" i="99"/>
  <c r="J15" i="99"/>
  <c r="J12" i="119" l="1"/>
  <c r="J10" i="146"/>
  <c r="D22" i="102" l="1"/>
  <c r="C37" i="98" l="1"/>
  <c r="G40" i="98" l="1"/>
  <c r="I15" i="98" l="1"/>
  <c r="L11" i="73"/>
  <c r="L10" i="73"/>
  <c r="C36" i="98"/>
  <c r="C35" i="98" s="1"/>
  <c r="C8" i="98"/>
  <c r="C7" i="98" s="1"/>
  <c r="B8" i="98"/>
  <c r="B7" i="98" s="1"/>
  <c r="E15" i="129"/>
  <c r="D15" i="129"/>
  <c r="G12" i="82" l="1"/>
  <c r="E12" i="82"/>
  <c r="I44" i="98" l="1"/>
  <c r="G37" i="98"/>
  <c r="G36" i="98" s="1"/>
  <c r="E37" i="98"/>
  <c r="E36" i="98" s="1"/>
  <c r="H21" i="98"/>
  <c r="E21" i="129"/>
  <c r="E58" i="102"/>
  <c r="G35" i="98" l="1"/>
  <c r="C24" i="71"/>
  <c r="D35" i="102"/>
  <c r="F14" i="68" s="1"/>
  <c r="D19" i="102"/>
  <c r="F11" i="68" s="1"/>
  <c r="D16" i="102"/>
  <c r="F22" i="68" s="1"/>
  <c r="F30" i="68" s="1"/>
  <c r="D6" i="102"/>
  <c r="D5" i="102" s="1"/>
  <c r="F9" i="68" s="1"/>
  <c r="H14" i="98"/>
  <c r="B17" i="98"/>
  <c r="I45" i="98"/>
  <c r="E16" i="102"/>
  <c r="G22" i="68" s="1"/>
  <c r="G30" i="68" s="1"/>
  <c r="E6" i="102"/>
  <c r="E5" i="102" s="1"/>
  <c r="G9" i="68" s="1"/>
  <c r="G17" i="68" s="1"/>
  <c r="B37" i="98"/>
  <c r="B36" i="98" s="1"/>
  <c r="B35" i="98" s="1"/>
  <c r="C30" i="98"/>
  <c r="D30" i="98"/>
  <c r="E30" i="98"/>
  <c r="F30" i="98"/>
  <c r="G30" i="98"/>
  <c r="B35" i="120"/>
  <c r="L10" i="120"/>
  <c r="L9" i="83"/>
  <c r="L10" i="83"/>
  <c r="L11" i="83"/>
  <c r="F6" i="102"/>
  <c r="F5" i="102" s="1"/>
  <c r="J9" i="99"/>
  <c r="J11" i="99"/>
  <c r="J13" i="99"/>
  <c r="J14" i="99"/>
  <c r="J18" i="99"/>
  <c r="J20" i="99"/>
  <c r="J23" i="99"/>
  <c r="J26" i="99"/>
  <c r="J27" i="99"/>
  <c r="J8" i="99"/>
  <c r="E31" i="102"/>
  <c r="F31" i="102"/>
  <c r="E18" i="71"/>
  <c r="F18" i="71"/>
  <c r="G18" i="71"/>
  <c r="I32" i="98"/>
  <c r="C17" i="98"/>
  <c r="L8" i="120"/>
  <c r="H16" i="71"/>
  <c r="I16" i="71"/>
  <c r="D33" i="77"/>
  <c r="C33" i="77"/>
  <c r="O32" i="77"/>
  <c r="O31" i="77"/>
  <c r="O30" i="77"/>
  <c r="O29" i="77"/>
  <c r="O28" i="77"/>
  <c r="O27" i="77"/>
  <c r="O26" i="77"/>
  <c r="O25" i="77"/>
  <c r="O24" i="77"/>
  <c r="M17" i="77"/>
  <c r="L17" i="77"/>
  <c r="K17" i="77"/>
  <c r="J17" i="77"/>
  <c r="I17" i="77"/>
  <c r="H17" i="77"/>
  <c r="G17" i="77"/>
  <c r="F17" i="77"/>
  <c r="E17" i="77"/>
  <c r="D17" i="77"/>
  <c r="B17" i="77"/>
  <c r="O15" i="77"/>
  <c r="O14" i="77"/>
  <c r="O13" i="77"/>
  <c r="O12" i="77"/>
  <c r="O11" i="77"/>
  <c r="O10" i="77"/>
  <c r="O8" i="77"/>
  <c r="F12" i="97"/>
  <c r="F13" i="97" s="1"/>
  <c r="F14" i="97" s="1"/>
  <c r="E12" i="97"/>
  <c r="E13" i="97" s="1"/>
  <c r="E14" i="97" s="1"/>
  <c r="D12" i="97"/>
  <c r="C12" i="97"/>
  <c r="C13" i="97" s="1"/>
  <c r="C14" i="97" s="1"/>
  <c r="I14" i="71"/>
  <c r="H14" i="71"/>
  <c r="D15" i="72"/>
  <c r="E15" i="72"/>
  <c r="F33" i="72"/>
  <c r="D35" i="120"/>
  <c r="F45" i="102"/>
  <c r="E45" i="102"/>
  <c r="I26" i="71"/>
  <c r="H26" i="71"/>
  <c r="G24" i="71"/>
  <c r="F24" i="71"/>
  <c r="E24" i="71"/>
  <c r="D24" i="71"/>
  <c r="B24" i="71"/>
  <c r="I23" i="71"/>
  <c r="H23" i="71"/>
  <c r="I22" i="71"/>
  <c r="H22" i="71"/>
  <c r="I21" i="71"/>
  <c r="H21" i="71"/>
  <c r="I20" i="71"/>
  <c r="H20" i="71"/>
  <c r="D18" i="71"/>
  <c r="I17" i="71"/>
  <c r="H17" i="71"/>
  <c r="I13" i="71"/>
  <c r="H13" i="71"/>
  <c r="I12" i="71"/>
  <c r="H12" i="71"/>
  <c r="I11" i="71"/>
  <c r="H11" i="71"/>
  <c r="I10" i="71"/>
  <c r="H10" i="71"/>
  <c r="I9" i="71"/>
  <c r="H9" i="71"/>
  <c r="H45" i="98"/>
  <c r="H44" i="98"/>
  <c r="I43" i="98"/>
  <c r="H43" i="98"/>
  <c r="I42" i="98"/>
  <c r="H42" i="98"/>
  <c r="I41" i="98"/>
  <c r="H41" i="98"/>
  <c r="I39" i="98"/>
  <c r="H39" i="98"/>
  <c r="I38" i="98"/>
  <c r="H38" i="98"/>
  <c r="F37" i="98"/>
  <c r="F36" i="98" s="1"/>
  <c r="D37" i="98"/>
  <c r="D36" i="98" s="1"/>
  <c r="H32" i="98"/>
  <c r="I31" i="98"/>
  <c r="H31" i="98"/>
  <c r="I29" i="98"/>
  <c r="H29" i="98"/>
  <c r="I26" i="98"/>
  <c r="H26" i="98"/>
  <c r="I25" i="98"/>
  <c r="H25" i="98"/>
  <c r="I24" i="98"/>
  <c r="H24" i="98"/>
  <c r="G23" i="98"/>
  <c r="G20" i="98" s="1"/>
  <c r="F20" i="98"/>
  <c r="E23" i="98"/>
  <c r="E20" i="98" s="1"/>
  <c r="D23" i="98"/>
  <c r="D20" i="98" s="1"/>
  <c r="I22" i="98"/>
  <c r="H22" i="98"/>
  <c r="I19" i="98"/>
  <c r="H19" i="98"/>
  <c r="I18" i="98"/>
  <c r="H18" i="98"/>
  <c r="G17" i="98"/>
  <c r="F17" i="98"/>
  <c r="E17" i="98"/>
  <c r="I17" i="98" s="1"/>
  <c r="D17" i="98"/>
  <c r="I16" i="98"/>
  <c r="H16" i="98"/>
  <c r="I14" i="98"/>
  <c r="I13" i="98"/>
  <c r="H13" i="98"/>
  <c r="I12" i="98"/>
  <c r="H12" i="98"/>
  <c r="I11" i="98"/>
  <c r="H11" i="98"/>
  <c r="I10" i="98"/>
  <c r="H10" i="98"/>
  <c r="I9" i="98"/>
  <c r="H9" i="98"/>
  <c r="G8" i="98"/>
  <c r="G7" i="98" s="1"/>
  <c r="F8" i="98"/>
  <c r="F7" i="98" s="1"/>
  <c r="E8" i="98"/>
  <c r="E7" i="98" s="1"/>
  <c r="D8" i="98"/>
  <c r="D7" i="98" s="1"/>
  <c r="E35" i="98"/>
  <c r="L7" i="120"/>
  <c r="L9" i="120"/>
  <c r="L11" i="120"/>
  <c r="L13" i="120"/>
  <c r="L14" i="120"/>
  <c r="L15" i="120"/>
  <c r="L18" i="120"/>
  <c r="L20" i="120"/>
  <c r="L21" i="120"/>
  <c r="L22" i="120"/>
  <c r="L23" i="120"/>
  <c r="L24" i="120"/>
  <c r="L26" i="120"/>
  <c r="L27" i="120"/>
  <c r="L29" i="120"/>
  <c r="L30" i="120"/>
  <c r="L31" i="120"/>
  <c r="L32" i="120"/>
  <c r="L34" i="120"/>
  <c r="L6" i="120"/>
  <c r="I35" i="120"/>
  <c r="J35" i="120"/>
  <c r="K35" i="120"/>
  <c r="C35" i="120"/>
  <c r="E35" i="120"/>
  <c r="F35" i="120"/>
  <c r="G35" i="120"/>
  <c r="H35" i="120"/>
  <c r="E30" i="129"/>
  <c r="F26" i="72"/>
  <c r="F28" i="72"/>
  <c r="F29" i="72"/>
  <c r="B12" i="73"/>
  <c r="C12" i="73"/>
  <c r="C10" i="100"/>
  <c r="D10" i="100"/>
  <c r="E10" i="100"/>
  <c r="F10" i="100"/>
  <c r="G10" i="100"/>
  <c r="H10" i="100"/>
  <c r="I10" i="100"/>
  <c r="B10" i="100"/>
  <c r="J9" i="100"/>
  <c r="F30" i="72"/>
  <c r="F14" i="72"/>
  <c r="F8" i="72"/>
  <c r="F9" i="72"/>
  <c r="F10" i="72"/>
  <c r="F12" i="72"/>
  <c r="F13" i="72"/>
  <c r="F17" i="72"/>
  <c r="F23" i="72"/>
  <c r="F24" i="72"/>
  <c r="F25" i="72"/>
  <c r="F32" i="72"/>
  <c r="F35" i="72"/>
  <c r="D34" i="72"/>
  <c r="E34" i="72"/>
  <c r="D7" i="72"/>
  <c r="E7" i="72"/>
  <c r="C7" i="72"/>
  <c r="C37" i="72" s="1"/>
  <c r="C12" i="83"/>
  <c r="D12" i="83"/>
  <c r="E12" i="83"/>
  <c r="F12" i="83"/>
  <c r="G12" i="83"/>
  <c r="H12" i="83"/>
  <c r="I12" i="83"/>
  <c r="J12" i="83"/>
  <c r="K12" i="83"/>
  <c r="B12" i="83"/>
  <c r="L8" i="83"/>
  <c r="K12" i="73"/>
  <c r="J9" i="101"/>
  <c r="J10" i="101"/>
  <c r="F12" i="101"/>
  <c r="G12" i="101"/>
  <c r="H12" i="101"/>
  <c r="I12" i="101"/>
  <c r="J12" i="73"/>
  <c r="G12" i="73"/>
  <c r="H12" i="73"/>
  <c r="C12" i="101"/>
  <c r="D12" i="101"/>
  <c r="E11" i="101"/>
  <c r="J11" i="101" s="1"/>
  <c r="E8" i="101"/>
  <c r="J8" i="101"/>
  <c r="B12" i="101"/>
  <c r="D12" i="73"/>
  <c r="E12" i="73"/>
  <c r="F12" i="73"/>
  <c r="I12" i="73"/>
  <c r="E12" i="101"/>
  <c r="I37" i="98"/>
  <c r="E33" i="77"/>
  <c r="N17" i="77"/>
  <c r="F33" i="77"/>
  <c r="G33" i="77"/>
  <c r="H33" i="77"/>
  <c r="I33" i="77"/>
  <c r="J33" i="77"/>
  <c r="K33" i="77"/>
  <c r="L33" i="77"/>
  <c r="M33" i="77"/>
  <c r="O22" i="77"/>
  <c r="H40" i="98"/>
  <c r="G32" i="68" l="1"/>
  <c r="E62" i="102"/>
  <c r="C10" i="68"/>
  <c r="C17" i="68" s="1"/>
  <c r="F17" i="68"/>
  <c r="F32" i="68" s="1"/>
  <c r="E37" i="72"/>
  <c r="D13" i="97"/>
  <c r="D14" i="97" s="1"/>
  <c r="F34" i="102"/>
  <c r="F64" i="102" s="1"/>
  <c r="E34" i="102"/>
  <c r="F15" i="72"/>
  <c r="D28" i="71"/>
  <c r="F28" i="71"/>
  <c r="H30" i="98"/>
  <c r="J12" i="101"/>
  <c r="J28" i="99"/>
  <c r="B28" i="71"/>
  <c r="I36" i="98"/>
  <c r="I35" i="98" s="1"/>
  <c r="H24" i="71"/>
  <c r="C28" i="71"/>
  <c r="C32" i="68"/>
  <c r="F7" i="72"/>
  <c r="L35" i="120"/>
  <c r="L12" i="73"/>
  <c r="L12" i="83"/>
  <c r="G28" i="71"/>
  <c r="I23" i="98"/>
  <c r="I8" i="98"/>
  <c r="H23" i="98"/>
  <c r="E33" i="98"/>
  <c r="H37" i="98"/>
  <c r="H21" i="81"/>
  <c r="H15" i="71"/>
  <c r="H18" i="71" s="1"/>
  <c r="D35" i="98"/>
  <c r="H8" i="98"/>
  <c r="I30" i="98"/>
  <c r="H36" i="98"/>
  <c r="H35" i="98" s="1"/>
  <c r="D32" i="68"/>
  <c r="D37" i="72"/>
  <c r="I24" i="71"/>
  <c r="D34" i="102"/>
  <c r="I28" i="98"/>
  <c r="F34" i="72"/>
  <c r="J10" i="100"/>
  <c r="F33" i="98"/>
  <c r="H17" i="98"/>
  <c r="H20" i="98"/>
  <c r="E28" i="71"/>
  <c r="H7" i="98"/>
  <c r="D33" i="98"/>
  <c r="G33" i="98"/>
  <c r="I7" i="98"/>
  <c r="I20" i="98"/>
  <c r="C33" i="98"/>
  <c r="I15" i="71"/>
  <c r="I18" i="71" s="1"/>
  <c r="F37" i="72" l="1"/>
  <c r="H28" i="71"/>
  <c r="F35" i="98"/>
  <c r="I28" i="71"/>
  <c r="H33" i="98"/>
  <c r="I33" i="98"/>
  <c r="O23" i="77"/>
  <c r="N33" i="77"/>
  <c r="I8" i="148"/>
  <c r="I7" i="148" s="1"/>
  <c r="C17" i="77"/>
  <c r="O16" i="77"/>
  <c r="F58" i="102"/>
  <c r="F62" i="102" s="1"/>
  <c r="F63" i="102" s="1"/>
  <c r="F65" i="102" s="1"/>
  <c r="O33" i="77" l="1"/>
  <c r="O17" i="77"/>
  <c r="I36" i="148"/>
  <c r="I33" i="148" s="1"/>
  <c r="F21" i="148"/>
  <c r="F59" i="148" s="1"/>
  <c r="I29" i="148"/>
  <c r="I21" i="148" s="1"/>
  <c r="I59" i="148" s="1"/>
</calcChain>
</file>

<file path=xl/sharedStrings.xml><?xml version="1.0" encoding="utf-8"?>
<sst xmlns="http://schemas.openxmlformats.org/spreadsheetml/2006/main" count="1234" uniqueCount="600">
  <si>
    <t>Kedvezmény nélkül elérhető bevétel</t>
  </si>
  <si>
    <t>Kedvezmények összege</t>
  </si>
  <si>
    <t>Ellátottak térítési díjának elengedése</t>
  </si>
  <si>
    <t>Ellátottak kártérítésének elengedése</t>
  </si>
  <si>
    <t>Lakosság részére lakásépítéshez nyújtott kölcsön elengedése</t>
  </si>
  <si>
    <t>Lakosság részére lakásfelújításhoz nyújtott kölcsön elengedése</t>
  </si>
  <si>
    <t>…………..-ból biztosított kedvezmény, mentesség*</t>
  </si>
  <si>
    <t>Eszközök hasznosítása utáni kedvezmény, menteség</t>
  </si>
  <si>
    <t>Egyéb kedvezmény</t>
  </si>
  <si>
    <t>Egyéb kölcsön elengedése</t>
  </si>
  <si>
    <t>Kommunális adó kedvezmény:</t>
  </si>
  <si>
    <t xml:space="preserve"> 15.1.</t>
  </si>
  <si>
    <t xml:space="preserve"> 15.2.</t>
  </si>
  <si>
    <t>*</t>
  </si>
  <si>
    <t>A helyi adókból biztosított kedvezményeket, mentességeket, adónemenként kell feltüntetni.</t>
  </si>
  <si>
    <t>( kedvezmények)</t>
  </si>
  <si>
    <t>Megnevezés</t>
  </si>
  <si>
    <t>Működési bevételek</t>
  </si>
  <si>
    <t>1.</t>
  </si>
  <si>
    <t>10.</t>
  </si>
  <si>
    <t>4.</t>
  </si>
  <si>
    <t>7.</t>
  </si>
  <si>
    <t>2.</t>
  </si>
  <si>
    <t>5.</t>
  </si>
  <si>
    <t>9.</t>
  </si>
  <si>
    <t>11.</t>
  </si>
  <si>
    <t>3.</t>
  </si>
  <si>
    <t>6.</t>
  </si>
  <si>
    <t>adatok ezer forintban</t>
  </si>
  <si>
    <t>8.</t>
  </si>
  <si>
    <t>Összesen:</t>
  </si>
  <si>
    <t>21.</t>
  </si>
  <si>
    <t>13.</t>
  </si>
  <si>
    <t>mutató</t>
  </si>
  <si>
    <t>Müködési kiadás összesen:</t>
  </si>
  <si>
    <t>Müködési bevétel összesen:</t>
  </si>
  <si>
    <t>Felhalmozási kiadások</t>
  </si>
  <si>
    <t>Felhalmozási bevételek</t>
  </si>
  <si>
    <t>Felhalmozási kiadás összesen:</t>
  </si>
  <si>
    <t>Felhalmozási bevétel összesen:</t>
  </si>
  <si>
    <t>M i n d ö s s z e s e n  :</t>
  </si>
  <si>
    <t>Összesen</t>
  </si>
  <si>
    <t>12.</t>
  </si>
  <si>
    <t>hozzájárulás</t>
  </si>
  <si>
    <t>összege Ft</t>
  </si>
  <si>
    <t>Támogatási jogcím</t>
  </si>
  <si>
    <t xml:space="preserve">adatok ezer forintban </t>
  </si>
  <si>
    <t xml:space="preserve">Kiemelt előirányzatok </t>
  </si>
  <si>
    <t xml:space="preserve">Összesen </t>
  </si>
  <si>
    <t>Működési kiadások összesen</t>
  </si>
  <si>
    <t xml:space="preserve">Kiadások összesen: </t>
  </si>
  <si>
    <t>Felújítási cél megnevezése</t>
  </si>
  <si>
    <t xml:space="preserve">ezer forintban </t>
  </si>
  <si>
    <t>Feladat megnevezése</t>
  </si>
  <si>
    <t>Előirányzat</t>
  </si>
  <si>
    <t>jan.</t>
  </si>
  <si>
    <t>febr.</t>
  </si>
  <si>
    <t>márc.</t>
  </si>
  <si>
    <t>ápr.</t>
  </si>
  <si>
    <t>máj.</t>
  </si>
  <si>
    <t>jun.</t>
  </si>
  <si>
    <t>júl.</t>
  </si>
  <si>
    <t>aug.</t>
  </si>
  <si>
    <t>szept.</t>
  </si>
  <si>
    <t>okt.</t>
  </si>
  <si>
    <t>nov.</t>
  </si>
  <si>
    <t>dec.</t>
  </si>
  <si>
    <t>BEVÉTELEK</t>
  </si>
  <si>
    <t>BEVÉTEL ÖSSZESEN</t>
  </si>
  <si>
    <t>KIADÁSOK</t>
  </si>
  <si>
    <t>KIADÁS ÖSSZESEN</t>
  </si>
  <si>
    <t>B E V É T E L E K</t>
  </si>
  <si>
    <t>Sor-
szám</t>
  </si>
  <si>
    <t>Bevételi jogcím</t>
  </si>
  <si>
    <t>3.1.</t>
  </si>
  <si>
    <t>3.2.</t>
  </si>
  <si>
    <t>K I A D Á S O K</t>
  </si>
  <si>
    <t>Sor-szám</t>
  </si>
  <si>
    <t>Kiadási jogcímek</t>
  </si>
  <si>
    <t>1.1.</t>
  </si>
  <si>
    <t>2.1.</t>
  </si>
  <si>
    <t>2.2.</t>
  </si>
  <si>
    <t>2.3.</t>
  </si>
  <si>
    <t>2.4.</t>
  </si>
  <si>
    <t>Kötelezettség jogcíme</t>
  </si>
  <si>
    <t>Köt. váll.
 éve</t>
  </si>
  <si>
    <t>Kiadás vonzata évenként</t>
  </si>
  <si>
    <t>Működési célú hiteltörlesztés (tőke+kamat)</t>
  </si>
  <si>
    <t>Felhalmozási célú hiteltörlesztés (tőke+kamat)</t>
  </si>
  <si>
    <t>Beruházás feladatonként</t>
  </si>
  <si>
    <t>14.</t>
  </si>
  <si>
    <t>16.</t>
  </si>
  <si>
    <t>17.</t>
  </si>
  <si>
    <t>15.</t>
  </si>
  <si>
    <t>Egyéb</t>
  </si>
  <si>
    <t>18.</t>
  </si>
  <si>
    <t>19.</t>
  </si>
  <si>
    <t>20.</t>
  </si>
  <si>
    <t>22.</t>
  </si>
  <si>
    <t>23.</t>
  </si>
  <si>
    <t>24.</t>
  </si>
  <si>
    <t xml:space="preserve"> Címek                                                </t>
  </si>
  <si>
    <t>Egyek Nagyközség Önkormányzat Felhalmozási kiadásai feladatonként</t>
  </si>
  <si>
    <t>2011.</t>
  </si>
  <si>
    <t>adatok Ft-ban</t>
  </si>
  <si>
    <t>KIMUTATÁS</t>
  </si>
  <si>
    <t>évre tervezett tartalékokról</t>
  </si>
  <si>
    <t>Tartalék összesen:</t>
  </si>
  <si>
    <t xml:space="preserve">Bevételi </t>
  </si>
  <si>
    <t>Kiadás</t>
  </si>
  <si>
    <t>Tárkányi Béla Könyvtár és Művelődési Ház összesen:</t>
  </si>
  <si>
    <t>2012.</t>
  </si>
  <si>
    <t>2014.</t>
  </si>
  <si>
    <t xml:space="preserve"> 15.3.</t>
  </si>
  <si>
    <t>Egyeki Szöghatár Nonprofit Kft.</t>
  </si>
  <si>
    <t>25.</t>
  </si>
  <si>
    <t>26.</t>
  </si>
  <si>
    <t>27.</t>
  </si>
  <si>
    <t>Ezer forintban !</t>
  </si>
  <si>
    <t>Évek</t>
  </si>
  <si>
    <t>ÖSSZES KÖTELEZETTSÉG</t>
  </si>
  <si>
    <t>Bevételi jogcímek</t>
  </si>
  <si>
    <t>Helyi adók</t>
  </si>
  <si>
    <t>Osztalékok, koncessziós díjak, hozam</t>
  </si>
  <si>
    <t>Díjak, pótlékok bírságok</t>
  </si>
  <si>
    <t>Tárgyi eszközök, immateriális javak, vagyoni értékű jog értékesítése, 
vagyonhasznosításból származó bevétel</t>
  </si>
  <si>
    <t>Részvények, részesedések értékesítése</t>
  </si>
  <si>
    <t>Vállalatértékesítésből, privatizációból származó bevételek</t>
  </si>
  <si>
    <t>Kezességvállalással kapcsolatos megtérülés</t>
  </si>
  <si>
    <t>SAJÁT BEVÉTELEK ÖSSZESEN*</t>
  </si>
  <si>
    <t>Fejlesztési cél leírása</t>
  </si>
  <si>
    <t>Önkormányzati Tűzoltóság</t>
  </si>
  <si>
    <t>Egyek Nagyközség Önkormányzat adósságot keletkeztető ügyletekből és kezességvállalásokból fennálló kötelezettségei</t>
  </si>
  <si>
    <t>Egyek Nagyközség Önkormányzat saját bevételeinek részletezése az adósságot keletkeztető ügyletből származó tárgyévi fizetési kötelezettség megállapításához</t>
  </si>
  <si>
    <t>Adósságot keletkeztető ügyletek várható együttes összege:</t>
  </si>
  <si>
    <t>Hitel megnevezése</t>
  </si>
  <si>
    <t>Önkormányzati támogatás összesen:</t>
  </si>
  <si>
    <t>Rövid lejáratú önkormányzati folyószámla hitel</t>
  </si>
  <si>
    <t>Könyvvizsgálati díj</t>
  </si>
  <si>
    <t xml:space="preserve"> </t>
  </si>
  <si>
    <t xml:space="preserve">KÖLTSÉGVETÉSI BEVÉTELEK ÖSSZESEN: </t>
  </si>
  <si>
    <t>B3 Közhatalmi bevétel</t>
  </si>
  <si>
    <t>B34. Vagyoni típusú adók</t>
  </si>
  <si>
    <t>B35. Termékek és szogáltatások adói</t>
  </si>
  <si>
    <t>B351. Értékesítési és forgalmi adók (állandó jelleggel végzett ipaírűzési tevékenység után fizetett helyi iparűzési adó)</t>
  </si>
  <si>
    <t>B354. Gépjárműadók</t>
  </si>
  <si>
    <t>B4. Működési bevételek</t>
  </si>
  <si>
    <t>B.5. Felhalmozási bevételek</t>
  </si>
  <si>
    <t>B1. Működési célú támogatások államháztartáson belülről</t>
  </si>
  <si>
    <t>B111. Helyi önkormányzatok működésének általános támogatása</t>
  </si>
  <si>
    <t>B114. Települési önkormányzatok kulturális feladatainak támogatása</t>
  </si>
  <si>
    <t>B116 Helyi önkormányzatok kiegészítő támogatása</t>
  </si>
  <si>
    <t>B115 Működési célú központosított előirányzatok</t>
  </si>
  <si>
    <t>B11. Önkormányzatok működési támogatásai</t>
  </si>
  <si>
    <t>B2. Felhalmozási célú támogatások államháztartáson belülről</t>
  </si>
  <si>
    <t xml:space="preserve">B25. Egyéb felhalmozási célú támogatások bevételei államháztartáson belülről </t>
  </si>
  <si>
    <t>B7. Felhalmozási célú átvett pénzeszközök</t>
  </si>
  <si>
    <t>B81. Belföldi finanszírozás bevételei</t>
  </si>
  <si>
    <t>B811. Hitel-, kölcsönfelvétel államháztartáson kívülről</t>
  </si>
  <si>
    <t>B813. Maradvány igénybevétele</t>
  </si>
  <si>
    <t xml:space="preserve">            felhalmozási</t>
  </si>
  <si>
    <t>ebből:    működési</t>
  </si>
  <si>
    <t>B816. Központi, irányítószervi támogatás</t>
  </si>
  <si>
    <t>B8. Finanszírozási bevételek</t>
  </si>
  <si>
    <t>KÖLTSÉGVETÉSI HIÁNY FINANSZÍROZÁSÁRA SZOLGÁLÓ PÉNZF.NÉLKÜLI BEVÉTELEK:</t>
  </si>
  <si>
    <t>B6. Működési célú átvett pénzeszközök</t>
  </si>
  <si>
    <t>A. Költségvetési bevételek összesen</t>
  </si>
  <si>
    <t>B3. Közhatalmi bevétel</t>
  </si>
  <si>
    <t>B5. Felhalmozási bevételek</t>
  </si>
  <si>
    <t>Kormányzati funkciók</t>
  </si>
  <si>
    <t>106010 Lakóingatlan szociális célú bérbeadás, üzemeltetés</t>
  </si>
  <si>
    <t>013350 Az önkormányzati vagyonnal való gazdálk-sal kapcs. Feladatok</t>
  </si>
  <si>
    <t>066020 Város és községgazdálkodás</t>
  </si>
  <si>
    <t>018010 Önkormányzatok elszámolásai a közp-i ktg.vetéssel</t>
  </si>
  <si>
    <t>900020 Önkormányzati funkciókra nem sorolható bevételek államháztartásoknak</t>
  </si>
  <si>
    <t>900060 Forgatási és befektetési célú finanszírozási műveletek</t>
  </si>
  <si>
    <t>107055 Falugondoki, tanyagondnoki feladatok ellátása</t>
  </si>
  <si>
    <t>041237 Közfogallkoztatási mintaprogram</t>
  </si>
  <si>
    <t>013320 Köztemető fenntartás és működtetés</t>
  </si>
  <si>
    <t>011130 Önkormányzatok és önkormányzati hivatalok jogalkotói és általános igazgatási tevékenysége</t>
  </si>
  <si>
    <t>011220 Adó-, vám és jövedéki igazgatás</t>
  </si>
  <si>
    <t>082042 Könyvtári állomány gyarapítása, nyilvántartása</t>
  </si>
  <si>
    <t>082044 Könyvtári szolgáltatások</t>
  </si>
  <si>
    <t>082063 Múzeumi, kiállítási tevékenység</t>
  </si>
  <si>
    <t>082091 Közművelődési- közösségi és társadalmi részvétel fejlesztése</t>
  </si>
  <si>
    <t>12 hó</t>
  </si>
  <si>
    <t>Költségvetési bevétel rovatrend</t>
  </si>
  <si>
    <t>Költségvetési kiadás rovatrand</t>
  </si>
  <si>
    <t>K1. Személyi juttatások</t>
  </si>
  <si>
    <t>K2. Munkaadókat terhelő járulékok és szociális hozzájárulási adók</t>
  </si>
  <si>
    <t>K3. Dologi kiadások</t>
  </si>
  <si>
    <t>K4. Ellátottak pénzbeli juttatásai</t>
  </si>
  <si>
    <t>K6. Beruházások</t>
  </si>
  <si>
    <t>K7. Felújítások</t>
  </si>
  <si>
    <t>K8. Egyéb felhalmozási célú kiadások</t>
  </si>
  <si>
    <t>Felhalmozási kiadások összesen:</t>
  </si>
  <si>
    <t>K5. Egyéb működési célú kiadások (tartalékok nélkül)</t>
  </si>
  <si>
    <t>K9. Finanszírozási kiadások (működési)</t>
  </si>
  <si>
    <t>K9. Finanszírozási kiadások (felhalmozási)</t>
  </si>
  <si>
    <t xml:space="preserve">K2. Munkaadókat terhelő járulékok és szociális hozzájárulási adó </t>
  </si>
  <si>
    <t xml:space="preserve">K4. Ellátottak pénzbeli juttatásai </t>
  </si>
  <si>
    <t>K512. Tartalék tartalék</t>
  </si>
  <si>
    <t>K9. Finanszírozási kiadások</t>
  </si>
  <si>
    <t>083030 Egyéb kiadói tevékenyésg</t>
  </si>
  <si>
    <t>064010 Közvilágítás</t>
  </si>
  <si>
    <t>032020 Tűz és katasztrófavédelmi tevékenységek</t>
  </si>
  <si>
    <t>072111 Háziorvosi alapellátás</t>
  </si>
  <si>
    <t>072112 Háziorvosi ügyeleti ellátás</t>
  </si>
  <si>
    <t>072210 Járóbetegek gyógyító szakellátása</t>
  </si>
  <si>
    <t>107060 Egyéb szociális pénzbeni ellátások, tám-k</t>
  </si>
  <si>
    <t>011130 Önk.-k és önk-i hav-k jogalkotói és ált.ig.tev.</t>
  </si>
  <si>
    <t>K2. Munkaadókat terhelő járulékok és szociális hozzájárulási adó</t>
  </si>
  <si>
    <t>K5. Egyéb működési célú kiadások (tartalék nélkül)</t>
  </si>
  <si>
    <t>K512. Tartalék</t>
  </si>
  <si>
    <t>16.1.</t>
  </si>
  <si>
    <t>16.2.</t>
  </si>
  <si>
    <t>Talajterhelési díj kedvezmény</t>
  </si>
  <si>
    <t>K5. Egyéb működési célú kiadások</t>
  </si>
  <si>
    <t>ebből: tartalék (működési)</t>
  </si>
  <si>
    <t>2013.</t>
  </si>
  <si>
    <t>Sebészeti szakrendeléshez eszközbérlet</t>
  </si>
  <si>
    <t>Szemészeti szakrendeléshez eszközbérlet</t>
  </si>
  <si>
    <t>Általános jogi tanácsadás</t>
  </si>
  <si>
    <t>2.5.</t>
  </si>
  <si>
    <t>2.6.</t>
  </si>
  <si>
    <t>3.4.</t>
  </si>
  <si>
    <t>3.5.</t>
  </si>
  <si>
    <t>4.1.</t>
  </si>
  <si>
    <t>4.2.</t>
  </si>
  <si>
    <t>4.5.</t>
  </si>
  <si>
    <t>4.6.</t>
  </si>
  <si>
    <t>4.8.</t>
  </si>
  <si>
    <t>4.9.</t>
  </si>
  <si>
    <t>4.10.</t>
  </si>
  <si>
    <t>4.11.</t>
  </si>
  <si>
    <t>B3. Közhatalmi bevételek</t>
  </si>
  <si>
    <t>B8. Finanszírozási bevételek (működési)</t>
  </si>
  <si>
    <t>B8. Finanszírozási bevételek (felhalmozási)</t>
  </si>
  <si>
    <t>B21. Felhalmozási célú önkormányzati támogatások (központosított előirányzatok,  vis maior)</t>
  </si>
  <si>
    <t>4.12.</t>
  </si>
  <si>
    <t>K1. Személyi  juttatás</t>
  </si>
  <si>
    <t>K11. Foglalkoztatottak személyi juttatásai</t>
  </si>
  <si>
    <t>K12. Külső személyi juttatások</t>
  </si>
  <si>
    <t xml:space="preserve">K9. Finanszírozási kiadások </t>
  </si>
  <si>
    <t xml:space="preserve">   ebből: közfoglalkoztatás</t>
  </si>
  <si>
    <t>Polgárőrség</t>
  </si>
  <si>
    <t>Temetési kölcsön</t>
  </si>
  <si>
    <t>Kormányzati funkció</t>
  </si>
  <si>
    <t>011130</t>
  </si>
  <si>
    <t>4.13.</t>
  </si>
  <si>
    <t>Világító testek bérleti díja</t>
  </si>
  <si>
    <t>2006.</t>
  </si>
  <si>
    <t>4.14.</t>
  </si>
  <si>
    <t>4.15.</t>
  </si>
  <si>
    <t>Népességnyilvántartó rendszer</t>
  </si>
  <si>
    <t>4.16.</t>
  </si>
  <si>
    <t>Polgármesteri Hivatal internet szolgáltatás</t>
  </si>
  <si>
    <t>4.17.</t>
  </si>
  <si>
    <t>4.18.</t>
  </si>
  <si>
    <t>Tűzjelző rendszer karbantartási szolgáltatás</t>
  </si>
  <si>
    <t>Adó és számviteli tanácsadás tagdíj</t>
  </si>
  <si>
    <t>4.20.</t>
  </si>
  <si>
    <t>Önkormányzati fizetési meghagyások elektronikus rendszer éves díj</t>
  </si>
  <si>
    <t>4.21.</t>
  </si>
  <si>
    <t>4.22.</t>
  </si>
  <si>
    <t>4.23.</t>
  </si>
  <si>
    <t>Egészségházban kártevőírtás szolgáltatás</t>
  </si>
  <si>
    <t>B111. Helyi önkormányzatok működésének ált.tám-a</t>
  </si>
  <si>
    <t>B113. Telelpülési önkormányzatok szoc.és gyemrekjóléti fel.tám.</t>
  </si>
  <si>
    <t>B114. Telelpülési önkormányzatok kulturális feladatainak tám-a</t>
  </si>
  <si>
    <t>B115. Működési célú központosított előirányzatok</t>
  </si>
  <si>
    <t>B16.  Egyéb működési célú támogatások bevételei államházt.belülről</t>
  </si>
  <si>
    <t>B21. Felhalmozási célú önkormányzati támogatások</t>
  </si>
  <si>
    <t>B25. Egyéb felhalmozási célú támogatások bevételei államháztartáson belülről</t>
  </si>
  <si>
    <t>B35. Termékek és szolgáltatások adói</t>
  </si>
  <si>
    <t>B351. Értékesítési és forgalmi adók</t>
  </si>
  <si>
    <t>B354. Gépjármű adók</t>
  </si>
  <si>
    <t>B36. Egyéb közhatalmi bevételek</t>
  </si>
  <si>
    <t>B.4.Működési bevételek</t>
  </si>
  <si>
    <t>B.811. Hitel, kölcsön felvétel államháztartáson kívülről</t>
  </si>
  <si>
    <t>K1. Személyi juttatás</t>
  </si>
  <si>
    <t>K4. Ellátottak pénzbeli juttatása</t>
  </si>
  <si>
    <t>K6. Beruházás</t>
  </si>
  <si>
    <t>K7. Felújítás</t>
  </si>
  <si>
    <t xml:space="preserve"> KIADÁSOK ÖSSZESEN: </t>
  </si>
  <si>
    <t xml:space="preserve">K5. Egyéb működési célú kiadások </t>
  </si>
  <si>
    <t>B116. Helyi önkormányzatok kiegészítő támogatása</t>
  </si>
  <si>
    <t>B16. Egyéb működési célú támogatások bevételei államháztartáson belülről</t>
  </si>
  <si>
    <t>B8111. Hosszú lejáratú hitelek, kölcsön felvétele</t>
  </si>
  <si>
    <t>Adósságot keletkeztető ügyletből származó tárgyévi összes fizetési kötelezettség (tőke+kamat)</t>
  </si>
  <si>
    <t>B8192. Rövid lejáratú kölcsönök bevételei</t>
  </si>
  <si>
    <t>045160 Közutak, hidak, alagutak fenntartása</t>
  </si>
  <si>
    <t>104060 A gyermekek, fiatalok és családok életmin.jav.</t>
  </si>
  <si>
    <t xml:space="preserve">Gépjárműadóból biztosított kedvezmény, mentesség 1991.évi LXXXII.tv. 5. § </t>
  </si>
  <si>
    <t xml:space="preserve">Helyiségek hasznosítása utáni kedvezmény, menteség terembéreleti díj határozata alapján/ </t>
  </si>
  <si>
    <t xml:space="preserve">   ebből: választott tisztségviselők juttatásai</t>
  </si>
  <si>
    <t>K915. Finanszírozási kiadások</t>
  </si>
  <si>
    <t>K9. Finanszírozási kiadások felhalmozási</t>
  </si>
  <si>
    <t>041237</t>
  </si>
  <si>
    <t>013350</t>
  </si>
  <si>
    <t>28.</t>
  </si>
  <si>
    <t>29.</t>
  </si>
  <si>
    <t>30.</t>
  </si>
  <si>
    <t>31.</t>
  </si>
  <si>
    <t>32.</t>
  </si>
  <si>
    <t>33.</t>
  </si>
  <si>
    <t>34.</t>
  </si>
  <si>
    <t>35.</t>
  </si>
  <si>
    <t>B.8192. Rövid lejáratú kölcsönök bevételei</t>
  </si>
  <si>
    <t>-</t>
  </si>
  <si>
    <t>Alacsony vételárú ingatlanok megvásárlása fejlesztési célú hitel</t>
  </si>
  <si>
    <t>Műfüves labdarugópálya pályázati tervdokumentáció elkészítésének finanszírozása feljesztési célú hitel</t>
  </si>
  <si>
    <t>Zúzott kő vásárlás fejlesztési célú hitel</t>
  </si>
  <si>
    <t>4.7.</t>
  </si>
  <si>
    <t>Egyek Nagyközség Önkormányzata ingatlanainak vagyonbiztosítási díja</t>
  </si>
  <si>
    <t>Közületi hulladékszállítási díj Polgármesteri Hivatalban esetén</t>
  </si>
  <si>
    <t>2017.</t>
  </si>
  <si>
    <t>2018.</t>
  </si>
  <si>
    <t>Betonelem előregyártó csarnok pályázathoz kapcsolódó építési, kivitelezési terv elkészítése, valamint a pályázathoz kapcsolódó árazott költségvetés, építési engedélyezési tervdokumentáció elkészítésének finanszírozása fejlesztési célú hitel</t>
  </si>
  <si>
    <t>Fejlesztés várható kiadása 2021. év</t>
  </si>
  <si>
    <t>Fejlesztés várható kiadása 2022. év</t>
  </si>
  <si>
    <t>Fejlesztés várható kiadása 2023. év</t>
  </si>
  <si>
    <t>Fejlesztés várható kiadása 2024. év</t>
  </si>
  <si>
    <t>Fejlesztés várható kiadása 2025. év</t>
  </si>
  <si>
    <t>Egyéb központi támogatás</t>
  </si>
  <si>
    <t>Pótlékok, bírságok egyéb közhatalmi bevételek</t>
  </si>
  <si>
    <t>B113. Települési önkormányzatok szociális feladatainak támogatása</t>
  </si>
  <si>
    <t>B814. Államháztartáson belüli megelőlegezések</t>
  </si>
  <si>
    <t>2019.</t>
  </si>
  <si>
    <t>Fejlesztés várható kiadása 2026. év</t>
  </si>
  <si>
    <t>Egyek horgászturizmushoz kapcsolódó pihenőpark és sétaút kialakítása önerő fedezete fejlesztési célú hitel</t>
  </si>
  <si>
    <t>Gyepmesteri telep építése Egyeken önerő finanszírozása fejlesztési célú hitel</t>
  </si>
  <si>
    <t>Önkormányzati tulajdonú ingatlan fűtéskorszerűsítése és Egészség Centrummá történő átalakítása fejlesztési célú hitel</t>
  </si>
  <si>
    <t>2015.</t>
  </si>
  <si>
    <t>2.11.</t>
  </si>
  <si>
    <t>"Egyek bel-és külterületi csapadékelvezető rendszer rekonstrukciója" fejlesztési célú hitel</t>
  </si>
  <si>
    <t>2.12.</t>
  </si>
  <si>
    <t>2.13.</t>
  </si>
  <si>
    <t>Önkormányzati tulajdonú ingatlanok fűtés korszerűsítése fejlesztési célú hitel</t>
  </si>
  <si>
    <t>3.6.</t>
  </si>
  <si>
    <t>Gyepmesteri telep állategészségügyi ellátás</t>
  </si>
  <si>
    <t>Távfelügyeleti szolgáltatás</t>
  </si>
  <si>
    <t>Egyek Nagyközség területén térfigyelő rendszer rendszer felügyeleti díj</t>
  </si>
  <si>
    <t>Gyepmesteri telep kártevőírtás szolgáltatás</t>
  </si>
  <si>
    <t>Távfelügyeleti szolgáltatás tűzjelző rendszerre</t>
  </si>
  <si>
    <t>B.14. Működési célú visszatérítendő támogatások, kölcsönök visszatérülése államháztartáson belülről</t>
  </si>
  <si>
    <t>Fajlagos összeg</t>
  </si>
  <si>
    <t>042180 Állat- egészségügyi ellátás</t>
  </si>
  <si>
    <t>011130 Önk-k és önkormányzati hivatalok jogalkotási és ált. ig. tevékenysége</t>
  </si>
  <si>
    <t>B74. Felhalmozási célú visszatérítendő támogatások, kölcsönök visszatérülése államháztartáson kívülről</t>
  </si>
  <si>
    <t xml:space="preserve">B75. Egyéb felhalmozási célú átvett pénzeszközök </t>
  </si>
  <si>
    <t>Széchenyi program keretében vásárolt lakások felújítása</t>
  </si>
  <si>
    <t>042180</t>
  </si>
  <si>
    <t>Többéves kihatással járó döntésekből származó kötelezettségek célok szerint évenkénti bontásban</t>
  </si>
  <si>
    <t>B74. Fehalmozási célú visszatérítendő támogatások, kölcsönök visszatérülése államháztartáson kívülről</t>
  </si>
  <si>
    <t>B75. Egyéb felhalmozási célú átvett pénzeszközök</t>
  </si>
  <si>
    <t>052020 Szennyvíz gyűjtése, tisztítása és elhelyezése</t>
  </si>
  <si>
    <t>Egyek település szennyvízelvezetési - és tisztítási projektje</t>
  </si>
  <si>
    <t xml:space="preserve">Időskorúak járadékában részesülők/Egyek Nagyközség Önkormányzat Képviselő Testületének 28/2013.(IX.26.) sz. rendelet 3. § b. pontja </t>
  </si>
  <si>
    <t xml:space="preserve"> 70 éven felüliek/ Egyek Nagyközség Önkormányzat Képviselő Testületének 28/2013.(IX.26.) sz. rendelet 3. § a) pontja</t>
  </si>
  <si>
    <t xml:space="preserve"> Készenléti szolgálatot ellátó önkéntes tűzoltók / Egyek Nagyközség Önkormányzat Képviselő Testületének 28/2013.(IX.26.) sz. rendelet 3. § c) pontja</t>
  </si>
  <si>
    <t>11.1.</t>
  </si>
  <si>
    <t>18. életévet be nem töltött magánszemélyek / Egyek Nagyközség Önkormányzat Képviselő Testületének 28/2013.(IX.26.) sz. rendelet 3. § d) pontja</t>
  </si>
  <si>
    <t>Balmazújvárosi Többcélú Társulás</t>
  </si>
  <si>
    <t>Elvonások és befizetések</t>
  </si>
  <si>
    <t>018010 Önkormányzatok elszámolásai a központi költségvetéssel</t>
  </si>
  <si>
    <t>084031 Civil szervezetek támogatása</t>
  </si>
  <si>
    <t>042180 Állat-egészségügy ellátás</t>
  </si>
  <si>
    <t>B14. Működési célú visszatérítendő támogatások, kölcsönök visszatérülése államháztartáson belülről</t>
  </si>
  <si>
    <t>Működésképtelen önkormányzatok egyéb támogatása</t>
  </si>
  <si>
    <t>052020 Szennyvíz gyűjtése, tisztítása, elhelyezése</t>
  </si>
  <si>
    <t>K5. Egyéb működési célú kiadások (működési tartalékka együtt)</t>
  </si>
  <si>
    <t>ebből: K513 Tartalék (működési)</t>
  </si>
  <si>
    <t>K513. Tartalékok (felhalmozási)</t>
  </si>
  <si>
    <t>Tartalékok (működési)</t>
  </si>
  <si>
    <t>Ebből: K914 Államháztartáson belüli megelőlegezések visszafizetése</t>
  </si>
  <si>
    <t xml:space="preserve">            maradvány igénybevétel</t>
  </si>
  <si>
    <t>ebből: maradvány igénybevétel</t>
  </si>
  <si>
    <t>B1. Működési támogatások államháztartáson belülről</t>
  </si>
  <si>
    <t>Államháztartáson belüli megelőlegezés</t>
  </si>
  <si>
    <t>2020.</t>
  </si>
  <si>
    <t>Fejlesztés várható kiadása 2027. év</t>
  </si>
  <si>
    <t>Egyek Nagyközség Önkormányzat és költségvetési szervei bevételei forrásonként, főbb jogcím-csoportonkénti részletezettségben</t>
  </si>
  <si>
    <t xml:space="preserve">adatok forintban </t>
  </si>
  <si>
    <t>B31. Jövedelemadók</t>
  </si>
  <si>
    <t>Fejlesztési célú tartalék összesen:</t>
  </si>
  <si>
    <t>Általános tartalék összesen:</t>
  </si>
  <si>
    <t>adatok forintban</t>
  </si>
  <si>
    <t>018030 Támogatási célú finanszírozási műveletek</t>
  </si>
  <si>
    <t>104037 Intézményen kívüli gyermekétkeztetés</t>
  </si>
  <si>
    <t xml:space="preserve">K513. Tartalék </t>
  </si>
  <si>
    <t>K5. Felhalmozási célú tartalék</t>
  </si>
  <si>
    <t xml:space="preserve"> Forintban </t>
  </si>
  <si>
    <t>Műfüves labdarugópálya kiépítése Egyeken</t>
  </si>
  <si>
    <t>2016.</t>
  </si>
  <si>
    <t>Adójellegű bevételek</t>
  </si>
  <si>
    <t>Műfüves labdarugópálya kialakítása Egyeken</t>
  </si>
  <si>
    <t>Viziközmű vagyon fejlesztés</t>
  </si>
  <si>
    <t>B31. Magánszemélyek jövedelemadói</t>
  </si>
  <si>
    <t>K513. Tartalékok</t>
  </si>
  <si>
    <t>K513. Tartalékok (működési)</t>
  </si>
  <si>
    <t>ebből: felhalmozási célú hitelfelvétel</t>
  </si>
  <si>
    <t xml:space="preserve"> ebből K914. Államháztartáson belüli megelőlegezések</t>
  </si>
  <si>
    <t>2021.</t>
  </si>
  <si>
    <t>Fejlesztés várható kiadása 2028. év</t>
  </si>
  <si>
    <t>2021. évi előirányzat</t>
  </si>
  <si>
    <t>Attila telepen fellelhető külterületi ingatlanok elbirtoklása, ügyvédi díj előleg</t>
  </si>
  <si>
    <t>3.7.</t>
  </si>
  <si>
    <t>11.2.</t>
  </si>
  <si>
    <t>Működési célú általános tartalék</t>
  </si>
  <si>
    <t>Iparterület fjelsztése</t>
  </si>
  <si>
    <t>B.15.Működési célú visszatérítendő támogatások, kölcsönök igénybevétele államháztartáson belülről</t>
  </si>
  <si>
    <t>2. Egyeki Polgármesteri Hivatal</t>
  </si>
  <si>
    <t>3. Tárkányi Béla Könytár és Művelődési ház</t>
  </si>
  <si>
    <t>1. Egyek Nagyközség Önkormányzata</t>
  </si>
  <si>
    <t>Működési kiadások</t>
  </si>
  <si>
    <t>Egyek Nagyközség Önkormányzat Felújítási kiadásai célonként</t>
  </si>
  <si>
    <t>Egyek település szennyvízelvezetési- és tisztítási projektje</t>
  </si>
  <si>
    <t>052020</t>
  </si>
  <si>
    <t>Iparterület fejlesztése</t>
  </si>
  <si>
    <t xml:space="preserve">Egyek Nagyközség Önkormányzata és az Egyeki Szöghatár Nonprofit között 2014. február 18.-án kelt 1617/2014. iktatószámmal ellátott megállapodás alapján/ </t>
  </si>
  <si>
    <t>045120 Út- autópálya építés</t>
  </si>
  <si>
    <t>072210 Járóbeteg gygyító szakellátása</t>
  </si>
  <si>
    <t>Nem közművel összegyűjtött szenyvízártalmatlanítás tám.</t>
  </si>
  <si>
    <t>Könyvtár: egyéb tárgyi eszköz beszerzés</t>
  </si>
  <si>
    <t>Közfoglalkoztatási mintaprogramok: egyéb tárgyi eszköz beszerzés</t>
  </si>
  <si>
    <t>Településrendezési terv készítés</t>
  </si>
  <si>
    <t>Gyepmesteri telep: egyéb tárgyi eszköz beszerzés</t>
  </si>
  <si>
    <t>Piac csarnok építés</t>
  </si>
  <si>
    <t>2022.</t>
  </si>
  <si>
    <t xml:space="preserve">Tűz és munkavédelmi szolgáltatás </t>
  </si>
  <si>
    <t>Bölcsőde építés</t>
  </si>
  <si>
    <t>3.8.</t>
  </si>
  <si>
    <t>"Helyi termékértékesítést szolgáló piac kialakítása Egyek Nagyközségben" c. projekt projektmenedzsment feladatainak ellátása</t>
  </si>
  <si>
    <t>3.9.</t>
  </si>
  <si>
    <t>3.10.</t>
  </si>
  <si>
    <t>3.11.</t>
  </si>
  <si>
    <t>"Ipari parkok, ipaterületek fejlesztése" c. projekt, kötelező tájékoztatás és nyilvánosság tevékenységének ellátása</t>
  </si>
  <si>
    <t>"Ipari parkok, ipaterületek fejlesztése c. projekthez kapcsolódó építési munkák műszaki lebonyolításával, ezen belül a műszaki ellenőrzés feladatainak ellátása</t>
  </si>
  <si>
    <t>2022. évi előirányzat</t>
  </si>
  <si>
    <t>Kétöklű Szociális Szövetkezet működési támogatása</t>
  </si>
  <si>
    <t>Négyállásos kocsimosó építés</t>
  </si>
  <si>
    <t>Polgármesteri Hivatal: egyéb tárgyi eszközök beszerzése</t>
  </si>
  <si>
    <t>Polgármesteri Hivatal: informatikai eszközök beszerzése</t>
  </si>
  <si>
    <t>Önkormányzati jogalkotás: informatikai eszközök beszerzése</t>
  </si>
  <si>
    <t>107080</t>
  </si>
  <si>
    <t>107080 Esélyegyenlőség elősegítését célzó tevékenységek és programok</t>
  </si>
  <si>
    <t>Fejlesztési célú tartalék</t>
  </si>
  <si>
    <t xml:space="preserve">Sorszám  </t>
  </si>
  <si>
    <t>Önerő</t>
  </si>
  <si>
    <t>Piac építés</t>
  </si>
  <si>
    <t>Úszóműves csónak- és kisgéphajó - kikötő építés</t>
  </si>
  <si>
    <t>Összesen
(8=4+5+6+7)</t>
  </si>
  <si>
    <t>Bölcsődei ellátás infrastrukturális fejlesztése Egyeken c. pályázat önerő biztosítása</t>
  </si>
  <si>
    <t xml:space="preserve">" Egyek bel és külterületi csapadékelvezető rendszer rekonstrukciója"  pályázati támogatási előleg visszafizetése </t>
  </si>
  <si>
    <t>Külterületi utak fejlesztése projekt önerő fedezete</t>
  </si>
  <si>
    <t>Fejlesztés várható kiadása 2029. év</t>
  </si>
  <si>
    <t>2023. évi előirányzat</t>
  </si>
  <si>
    <t>2023.</t>
  </si>
  <si>
    <t>Mezőgazdasági út építés</t>
  </si>
  <si>
    <t>Egészségház adatvédelmi tisztviselő szolgáltatás</t>
  </si>
  <si>
    <t>TÖOSZ tagsági díj</t>
  </si>
  <si>
    <t>Orvosi ügyelet</t>
  </si>
  <si>
    <t>Tárkányi Béla Könyvtár adatvédelmi tisztviselő szolgáltatás</t>
  </si>
  <si>
    <t>Egyeki Polgármesteri Hivatal adatvédelmi tisztviselő szolgáltatás</t>
  </si>
  <si>
    <t>4.24.</t>
  </si>
  <si>
    <t>4.25.</t>
  </si>
  <si>
    <t>B36. Egyéb közhatalmi bevételek (bírság, pótlék, mezőőri díj, talajterhelési díj)</t>
  </si>
  <si>
    <t>Piac építés önerő fedezete</t>
  </si>
  <si>
    <t>Úszóműves csónak- és kisgéphajtó - kikötő építés önerő fedezete</t>
  </si>
  <si>
    <t>K915. Központi irányítószervi támogatás</t>
  </si>
  <si>
    <t>ebből: K914. Államháztartáson belüli megelőlegezések visszafizetése</t>
  </si>
  <si>
    <t>Adatok forintban</t>
  </si>
  <si>
    <t xml:space="preserve"> Adatok forintban</t>
  </si>
  <si>
    <t>2020. évi várható tény Egyek Nagyközség Önkormányzata</t>
  </si>
  <si>
    <t xml:space="preserve">2021. Előirányzat  Egyek Nagyközség Önkormányzata </t>
  </si>
  <si>
    <t xml:space="preserve">2020. Várható tény                                                      
Egyeki Polgármesteri Hivatal </t>
  </si>
  <si>
    <t xml:space="preserve">2021. Előirányzat 
Egyeki Polgármesteri Hivatal </t>
  </si>
  <si>
    <t>2020. Várható tény
Tárkányi Béla Könyvt.és Műv.H.</t>
  </si>
  <si>
    <t>2021. Előirányzat 
Tárkányi Béla Könyvt. És Műv.H.</t>
  </si>
  <si>
    <t>2020. Várható tény 
Összesen:</t>
  </si>
  <si>
    <t>2021. Előirányzat 
Összesen:</t>
  </si>
  <si>
    <t>2021. évi terv</t>
  </si>
  <si>
    <t>Egyek Nagyközség Önkormányzatának 2021. évi bevételei</t>
  </si>
  <si>
    <t>Egyek Nagyközség Önkormányzatának 2021. évre tervezett bevételei kötelező feladatonként</t>
  </si>
  <si>
    <t>Egyek Nagyközség Önkormányzatának 2021. évre tervezett bevételei önként vállalt feladatonként</t>
  </si>
  <si>
    <t xml:space="preserve">Egyeki Polgármesteri Hivatal 2021. évi tervezett bevételei </t>
  </si>
  <si>
    <t>Egyeki Polgármesteri Hivatal 2021. évi tervezett bevételei kötelező feladatonként</t>
  </si>
  <si>
    <t>Tárkányi Béla Könyvtár és Művelődési Ház 2021. évi tervezett bevételei</t>
  </si>
  <si>
    <t xml:space="preserve">Tárkányi Béla Könyvtár és Művelődési Ház 2021. évi tervezett bevételei kötelező feladatonként </t>
  </si>
  <si>
    <t>2021. ÉV</t>
  </si>
  <si>
    <t>Egyek Nagyközség Önkormányzat és költségvetési szervei 2021. évi  kiadásai kiemelt előirányzatonként</t>
  </si>
  <si>
    <t>2020. Várható tény 
Önkormányzat</t>
  </si>
  <si>
    <t xml:space="preserve">2021. Előirányzat 
Önkormányzat </t>
  </si>
  <si>
    <t>2020. Várható tény Egyeki Polgármesteri Hivatal</t>
  </si>
  <si>
    <t xml:space="preserve">2021. Előirányzat Egyeki Polgármesteri Hivatal </t>
  </si>
  <si>
    <t>2020. Várható tény Tárkányi Béla Könyvtár és Művelődési Ház</t>
  </si>
  <si>
    <t>2021. Előirányzat Tárkányi Béla Könyvtár és Művelődési Ház</t>
  </si>
  <si>
    <t>Egyek Nagyközség Önkormányzatának 2021. évi tervezett kiadásai  feladatonként</t>
  </si>
  <si>
    <t>Egyek Nagyközség Önkormányzatának 2021. évi tervezett kiadásai  kötelező feladatonként</t>
  </si>
  <si>
    <t>Egyek Nagyközség Önkormányzatának 2021. évi tervezett kiadásai  önként vállalt feladatonként</t>
  </si>
  <si>
    <t>Egyeki Polgármesteri Hivatal 2021. évi tervezett kiadásai feladatonként</t>
  </si>
  <si>
    <t>Egyeki Polgármesteri Hivatal 2021. évi tervezett kiadásai kötelező feladatonként</t>
  </si>
  <si>
    <t>Tárkányi Béla Könyvtár és Művelődési Ház 2021. évi tervezett kiadásai feladatonként</t>
  </si>
  <si>
    <t>Tárkányi Béla Könyvtár és Művelődési Ház 2021. évi tervezett kiadásai  kötelező feladatonként</t>
  </si>
  <si>
    <t>Egyek Nagyközség Önkormányzat és költségvetési szervei 2021. évi működési  kiadásai kiemelt előirányzatonként</t>
  </si>
  <si>
    <t>Egyek Nagyközség Önkormányzat pénzügyi mérlege: 2019-2021. év</t>
  </si>
  <si>
    <t>2019. évi tény</t>
  </si>
  <si>
    <t>2020. évi várható teljesítés (Ft)</t>
  </si>
  <si>
    <t>2021. évi előirányzat (Ft)</t>
  </si>
  <si>
    <t>2020. évi várható teljesítés</t>
  </si>
  <si>
    <t>2021. Évi Költségvetési kiadások összesen</t>
  </si>
  <si>
    <t>2021. évi Költségvetési bevételek összesen</t>
  </si>
  <si>
    <t>Egyek Nagyközség Önkormányzat 2021. évi előirányzat-felhasználási ütemterve</t>
  </si>
  <si>
    <t xml:space="preserve">Az önkormányzat által 2021. évben nyújtott közvetett támogatások </t>
  </si>
  <si>
    <t xml:space="preserve">                                              Egyek Nagyközség Önkormányzata működési és felhalmozási célú bevételeinek és kiadásainak 2019. évi tényleges, 2020. évi várható és 2021. évi eredeti előirányzata mérleg rendszerben</t>
  </si>
  <si>
    <t>2019. évi tényleges teljesítés</t>
  </si>
  <si>
    <t>2021. évi eredeti előirányzat</t>
  </si>
  <si>
    <t>a 2021.</t>
  </si>
  <si>
    <t>2021. évben az Európai Unió költségvetéséből származó támogatással megvalósuló projektek</t>
  </si>
  <si>
    <t>Egyek Nagyközség Önkormányzat 2021. évi adósságot keletkeztető fejlesztési céljai</t>
  </si>
  <si>
    <t>Fejlesztés várható kiadása 2030. év</t>
  </si>
  <si>
    <t>2021. évi várható felhalmozási hitelfizetési kötelezettség (kamatok nélkül) összege:</t>
  </si>
  <si>
    <t>2021. évi várható adósságot keletkeztető ügyletek egyttes összege:</t>
  </si>
  <si>
    <t>2024. évi előirányzat</t>
  </si>
  <si>
    <t>Egyek nagyközség Önkormányzat Képviselő-testületének 26/2020. (XII.17.) sz.rendelet 7. § b.) pontja</t>
  </si>
  <si>
    <t>Egyek Nagyközség Önkormányzata Képviselő-testületének 26/2020. (XII.17.) sz.rendelet 7. § a) és c) pontja</t>
  </si>
  <si>
    <t>B8112. Rövid lejáratú hitelek, kölcsönök felvétele</t>
  </si>
  <si>
    <t>041233 Hosszabb időtartamú közfoglalkoztatás</t>
  </si>
  <si>
    <t>045220 Vízi létesítmények építése</t>
  </si>
  <si>
    <t>047120 Piac üzemeltetése</t>
  </si>
  <si>
    <t>062020 Önkormányzati fejlesztések</t>
  </si>
  <si>
    <t>107060 Egyéb szociális pénzbeni és természetbeni ellátások</t>
  </si>
  <si>
    <t>Önkormányzati Hivatal működésének támogatása (kiegészítéssel növelt összeg)</t>
  </si>
  <si>
    <t>Egyéb kötelező önkormányzati feladatok támogatása</t>
  </si>
  <si>
    <t>Lakott külterülettel kapcsolatos feladatok támogatása</t>
  </si>
  <si>
    <t>Települési önkormányzatok szociális és gyermekjóléti feladatainak egyéb támogatása</t>
  </si>
  <si>
    <t xml:space="preserve">Szünidei étkeztetés támogatása </t>
  </si>
  <si>
    <t>Falugondnoki vagy tanyagondnoki szolgáltatás</t>
  </si>
  <si>
    <t>A telpülési önkormányzatok szociális és gyermekjóléti feladatainak támogatása</t>
  </si>
  <si>
    <t xml:space="preserve">Települési önkormányzatok nyilvános könyvtári és a közművelődési feladatinak támogatása </t>
  </si>
  <si>
    <t>A települési önkormányzatok kulturális feladatainak támogatása</t>
  </si>
  <si>
    <t>A települési önkormányzatok gyermekétkeztetési feladatainak támogatása</t>
  </si>
  <si>
    <t>Nem közművel összegyűjtött háztartási szennyvíz ártalmatlanítása</t>
  </si>
  <si>
    <t>A telpülési önkormányzatok működésének általános támogatása</t>
  </si>
  <si>
    <t>Zöldterület-gazdálkodással kapcsolatos feladatok ell.tám.</t>
  </si>
  <si>
    <t>Közvilágítás fenntartásának támogatása</t>
  </si>
  <si>
    <t>Köztemető fenntartásával kapcsolatos feladatok támogatása</t>
  </si>
  <si>
    <t>Közutak fenntartásának támogatása</t>
  </si>
  <si>
    <t>011130 Önk.-k és önk-i hiv-k jogalkotói és ált.ig.tev.</t>
  </si>
  <si>
    <t>045220 Vízi létesímények építése</t>
  </si>
  <si>
    <t>074040 Fertőző megbetegedések megelőzések, járványügyi ellátás</t>
  </si>
  <si>
    <t>ebből: K9112. Likviditási célú hitelek, kölcsönök törlesztése pénzügyi vállalkozásnak</t>
  </si>
  <si>
    <t>BURSA támogatás</t>
  </si>
  <si>
    <t>Tisza-tavi Régió Hulladéklerakóit Rekultiváló Egycélú Önkormányzati Társulás részére tagi hozzájárulás</t>
  </si>
  <si>
    <t>Mentőállomás támogatása</t>
  </si>
  <si>
    <t>Egyeki Sportbarátok Sport Egyesülete támogatása</t>
  </si>
  <si>
    <t>Mozgássérültek Egyesülete támogatása</t>
  </si>
  <si>
    <t>Visszatérítendő krízis támogatás</t>
  </si>
  <si>
    <t>Egyeki Szöghatár Nonprofit Kft.-nek nyújtott kölcsön</t>
  </si>
  <si>
    <t xml:space="preserve">Egyéb működési célú támogatás </t>
  </si>
  <si>
    <t>Egyéb működési célú támogatás államháztartáson kívülre (EFOP pályázat)</t>
  </si>
  <si>
    <t>2022. évi Költségvetési hiány:</t>
  </si>
  <si>
    <t>Egészszágház: fűtési rendszer felújítás</t>
  </si>
  <si>
    <t>082044</t>
  </si>
  <si>
    <t>Könyvtári szolgáltatások: fűtési rendszer felújítás</t>
  </si>
  <si>
    <t>Egyek, Fő tér - Tisza utca felújítás</t>
  </si>
  <si>
    <t>Esélyegyenlőség elősegítését célzó tevékenységek és programok (EFOP pályázat): Egyek-Telekháza önkormányzati tulajdonú ingatlan felújítása</t>
  </si>
  <si>
    <t>011129</t>
  </si>
  <si>
    <t>Polgármesteri Hivatal: immateriális javak beszerzése</t>
  </si>
  <si>
    <t>Polgármesteri Hivatal: Klíma-rendszer kiépítése</t>
  </si>
  <si>
    <t>082042</t>
  </si>
  <si>
    <t>Könyvtári állomány gyarapítása</t>
  </si>
  <si>
    <t>082091</t>
  </si>
  <si>
    <t>Közművelődési, közösségi és társadalmi részvétel fejlesztése: fellépő ruha beszerzés</t>
  </si>
  <si>
    <t>Szennyvízközmű vagyon fejlesztése</t>
  </si>
  <si>
    <t>Ivóvízközmű vagyon fejlesztés</t>
  </si>
  <si>
    <t>045220</t>
  </si>
  <si>
    <t>Vízi létesítmények építése: Úszóműves csónak- és kisgéphajtó - kikötő építés</t>
  </si>
  <si>
    <t>047120</t>
  </si>
  <si>
    <t>062020</t>
  </si>
  <si>
    <t>Esélyegyenlőség elősegítését célzó tevékenységek és programok (EFOP pályázat): tárgyi eszköz beszerzés</t>
  </si>
  <si>
    <t>2021. előtti kifizetés</t>
  </si>
  <si>
    <t>2024.</t>
  </si>
  <si>
    <t>2.7.</t>
  </si>
  <si>
    <t>2.8.</t>
  </si>
  <si>
    <t>2.9</t>
  </si>
  <si>
    <t>2.10.</t>
  </si>
  <si>
    <t>Szennyvízcsatorna IV. ütem kiépítése, Szennyvíztisztító telep áthelyezése</t>
  </si>
  <si>
    <t>Szennyvízcsatorna IV. ütem kiépítése, PR. És nyílvánosság biztosítása</t>
  </si>
  <si>
    <t>"Ipari parkok, ipaterületek fejlesztése c. projekthez kapcsolódó projektmenedzsment feladatainak ellátása</t>
  </si>
  <si>
    <t>"Helyi termékértékesítést szolgáló piac kialakítása Egyek Nagyközségben" c. projekt kvitelezésével kapcsolatos kiadás</t>
  </si>
  <si>
    <t>Egyek, Fő tér - Tisza utca felújítása</t>
  </si>
  <si>
    <t>"Ipari parkok, ipaterületek fejlesztése c. projekt kivitelezéssel, építéssel kapcsolatos kiadása</t>
  </si>
  <si>
    <t>3.3.</t>
  </si>
  <si>
    <t>4.3.</t>
  </si>
  <si>
    <t>4.4.</t>
  </si>
  <si>
    <t>4.19.</t>
  </si>
  <si>
    <t xml:space="preserve">Egyek Nagyközség Önkormányzatának 2021. évi állami támogatása </t>
  </si>
  <si>
    <t xml:space="preserve">Önkormányzati fejlesztési pályázatok önerő fedezete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</si>
</sst>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F_t_-;\-* #,##0.00\ _F_t_-;_-* &quot;-&quot;??\ _F_t_-;_-@_-"/>
    <numFmt numFmtId="164" formatCode="#,###"/>
    <numFmt numFmtId="165" formatCode="#"/>
    <numFmt numFmtId="166" formatCode="_-* #,##0\ _F_t_-;\-* #,##0\ _F_t_-;_-* &quot;-&quot;??\ _F_t_-;_-@_-"/>
    <numFmt numFmtId="167" formatCode="_-* #,##0.0\ _F_t_-;\-* #,##0.0\ _F_t_-;_-* &quot;-&quot;??\ _F_t_-;_-@_-"/>
    <numFmt numFmtId="168" formatCode="_-* #,##0.0\ _F_t_-;\-* #,##0.0\ _F_t_-;_-* &quot;-&quot;?\ _F_t_-;_-@_-"/>
  </numFmts>
  <fonts count="9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name val="Arial"/>
      <family val="2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u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sz val="12"/>
      <name val="Arial"/>
      <family val="2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u/>
      <sz val="12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b/>
      <i/>
      <sz val="10"/>
      <name val="Times New Roman CE"/>
      <family val="1"/>
      <charset val="238"/>
    </font>
    <font>
      <sz val="8"/>
      <name val="Times New Roman CE"/>
      <charset val="238"/>
    </font>
    <font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u/>
      <sz val="8"/>
      <name val="Arial"/>
      <family val="2"/>
    </font>
    <font>
      <i/>
      <sz val="10"/>
      <name val="Arial"/>
      <family val="2"/>
    </font>
    <font>
      <sz val="9"/>
      <name val="Arial CE"/>
      <charset val="238"/>
    </font>
    <font>
      <sz val="8"/>
      <name val="Arial CE"/>
      <charset val="238"/>
    </font>
    <font>
      <sz val="11"/>
      <name val="Arial CE"/>
      <charset val="238"/>
    </font>
    <font>
      <sz val="10"/>
      <name val="Times New Roman"/>
      <family val="1"/>
    </font>
    <font>
      <b/>
      <sz val="16"/>
      <name val="Arial"/>
      <family val="2"/>
      <charset val="238"/>
    </font>
    <font>
      <b/>
      <u/>
      <sz val="16"/>
      <name val="Arial"/>
      <family val="2"/>
      <charset val="238"/>
    </font>
    <font>
      <sz val="12"/>
      <name val="Arial CE"/>
      <family val="2"/>
      <charset val="238"/>
    </font>
    <font>
      <b/>
      <i/>
      <sz val="12"/>
      <name val="Arial CE"/>
      <family val="2"/>
      <charset val="238"/>
    </font>
    <font>
      <b/>
      <sz val="14"/>
      <name val="Arial CE"/>
      <family val="2"/>
      <charset val="238"/>
    </font>
    <font>
      <i/>
      <sz val="10"/>
      <name val="Arial CE"/>
      <charset val="238"/>
    </font>
    <font>
      <b/>
      <i/>
      <sz val="10"/>
      <name val="Arial"/>
      <family val="2"/>
      <charset val="238"/>
    </font>
    <font>
      <b/>
      <i/>
      <sz val="10"/>
      <name val="Arial CE"/>
      <charset val="238"/>
    </font>
    <font>
      <sz val="10"/>
      <name val="Arial CE"/>
      <family val="2"/>
      <charset val="238"/>
    </font>
    <font>
      <b/>
      <sz val="14"/>
      <name val="Times New Roman"/>
      <family val="1"/>
      <charset val="238"/>
    </font>
    <font>
      <i/>
      <sz val="10"/>
      <color indexed="8"/>
      <name val="Arial"/>
      <family val="2"/>
    </font>
    <font>
      <b/>
      <i/>
      <sz val="8"/>
      <color indexed="8"/>
      <name val="Arial"/>
      <family val="2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9"/>
      <name val="Times New Roman CE"/>
      <family val="1"/>
      <charset val="238"/>
    </font>
    <font>
      <b/>
      <sz val="10"/>
      <name val="Times New Roman CE"/>
      <charset val="238"/>
    </font>
    <font>
      <b/>
      <i/>
      <sz val="8"/>
      <name val="Times New Roman CE"/>
      <family val="1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i/>
      <sz val="11"/>
      <name val="Times New Roman CE"/>
      <charset val="238"/>
    </font>
    <font>
      <sz val="12"/>
      <name val="Arial"/>
      <family val="2"/>
      <charset val="238"/>
    </font>
    <font>
      <b/>
      <sz val="9"/>
      <name val="Arial CE"/>
      <charset val="238"/>
    </font>
    <font>
      <b/>
      <i/>
      <sz val="10"/>
      <name val="Times New Roman"/>
      <family val="1"/>
      <charset val="238"/>
    </font>
    <font>
      <b/>
      <i/>
      <sz val="11"/>
      <name val="Arial"/>
      <family val="2"/>
    </font>
    <font>
      <b/>
      <i/>
      <sz val="11"/>
      <name val="Times New Roman"/>
      <family val="1"/>
      <charset val="238"/>
    </font>
    <font>
      <i/>
      <sz val="11"/>
      <name val="Arial CE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b/>
      <sz val="16"/>
      <name val="Arial CE"/>
      <charset val="238"/>
    </font>
    <font>
      <b/>
      <i/>
      <sz val="11"/>
      <name val="Arial"/>
      <family val="2"/>
      <charset val="238"/>
    </font>
    <font>
      <i/>
      <sz val="9"/>
      <name val="Arial CE"/>
      <charset val="238"/>
    </font>
    <font>
      <b/>
      <u/>
      <sz val="9"/>
      <name val="Arial CE"/>
      <charset val="238"/>
    </font>
    <font>
      <i/>
      <sz val="8"/>
      <color indexed="8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"/>
      <family val="2"/>
    </font>
    <font>
      <sz val="11"/>
      <name val="Arial"/>
      <family val="2"/>
    </font>
    <font>
      <b/>
      <i/>
      <sz val="10"/>
      <color indexed="8"/>
      <name val="Arial"/>
      <family val="2"/>
      <charset val="238"/>
    </font>
    <font>
      <i/>
      <sz val="8"/>
      <name val="Arial"/>
      <family val="2"/>
      <charset val="238"/>
    </font>
    <font>
      <b/>
      <i/>
      <sz val="12"/>
      <name val="Arial"/>
      <family val="2"/>
      <charset val="238"/>
    </font>
    <font>
      <b/>
      <sz val="16"/>
      <name val="Times New Roman CE"/>
      <family val="1"/>
      <charset val="238"/>
    </font>
    <font>
      <b/>
      <i/>
      <sz val="14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color indexed="8"/>
      <name val="Arial CE"/>
      <charset val="238"/>
    </font>
    <font>
      <i/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b/>
      <sz val="12"/>
      <name val="Times New Roman CE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i/>
      <sz val="11"/>
      <color theme="1"/>
      <name val="Arial"/>
      <family val="2"/>
      <charset val="238"/>
    </font>
    <font>
      <b/>
      <sz val="12"/>
      <name val="Arial CE"/>
      <charset val="238"/>
    </font>
    <font>
      <sz val="10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54" fillId="0" borderId="0"/>
    <xf numFmtId="0" fontId="30" fillId="0" borderId="0"/>
    <xf numFmtId="0" fontId="50" fillId="0" borderId="0"/>
    <xf numFmtId="43" fontId="1" fillId="0" borderId="0" applyFont="0" applyFill="0" applyBorder="0" applyAlignment="0" applyProtection="0"/>
  </cellStyleXfs>
  <cellXfs count="1064">
    <xf numFmtId="0" fontId="0" fillId="0" borderId="0" xfId="0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5" fillId="0" borderId="0" xfId="0" applyFont="1"/>
    <xf numFmtId="0" fontId="5" fillId="0" borderId="0" xfId="0" applyFont="1" applyBorder="1"/>
    <xf numFmtId="3" fontId="5" fillId="0" borderId="0" xfId="0" applyNumberFormat="1" applyFont="1" applyBorder="1"/>
    <xf numFmtId="3" fontId="5" fillId="0" borderId="0" xfId="0" applyNumberFormat="1" applyFont="1"/>
    <xf numFmtId="0" fontId="5" fillId="0" borderId="0" xfId="0" applyFont="1" applyFill="1" applyBorder="1"/>
    <xf numFmtId="3" fontId="5" fillId="0" borderId="0" xfId="0" applyNumberFormat="1" applyFont="1" applyBorder="1" applyAlignment="1">
      <alignment horizontal="right"/>
    </xf>
    <xf numFmtId="0" fontId="6" fillId="0" borderId="0" xfId="0" applyFont="1"/>
    <xf numFmtId="0" fontId="6" fillId="0" borderId="0" xfId="0" applyFont="1" applyBorder="1"/>
    <xf numFmtId="3" fontId="6" fillId="0" borderId="0" xfId="0" applyNumberFormat="1" applyFont="1" applyBorder="1"/>
    <xf numFmtId="0" fontId="6" fillId="0" borderId="2" xfId="0" applyFont="1" applyBorder="1"/>
    <xf numFmtId="0" fontId="6" fillId="0" borderId="3" xfId="0" applyFont="1" applyBorder="1"/>
    <xf numFmtId="3" fontId="6" fillId="0" borderId="3" xfId="0" applyNumberFormat="1" applyFont="1" applyBorder="1"/>
    <xf numFmtId="3" fontId="5" fillId="0" borderId="0" xfId="0" applyNumberFormat="1" applyFont="1" applyBorder="1" applyAlignment="1"/>
    <xf numFmtId="0" fontId="0" fillId="0" borderId="0" xfId="0" applyBorder="1" applyAlignment="1"/>
    <xf numFmtId="1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5" fillId="0" borderId="8" xfId="0" applyFont="1" applyBorder="1"/>
    <xf numFmtId="0" fontId="13" fillId="0" borderId="0" xfId="0" applyFont="1"/>
    <xf numFmtId="0" fontId="8" fillId="0" borderId="0" xfId="0" applyFont="1" applyAlignment="1"/>
    <xf numFmtId="0" fontId="15" fillId="0" borderId="0" xfId="0" applyFont="1" applyBorder="1"/>
    <xf numFmtId="0" fontId="13" fillId="0" borderId="1" xfId="0" applyFont="1" applyBorder="1"/>
    <xf numFmtId="0" fontId="8" fillId="0" borderId="0" xfId="0" applyFont="1" applyAlignment="1">
      <alignment horizontal="center" wrapText="1"/>
    </xf>
    <xf numFmtId="0" fontId="8" fillId="0" borderId="8" xfId="0" applyFont="1" applyBorder="1" applyAlignment="1"/>
    <xf numFmtId="0" fontId="18" fillId="0" borderId="0" xfId="0" applyFont="1" applyAlignment="1"/>
    <xf numFmtId="0" fontId="15" fillId="0" borderId="9" xfId="0" applyFont="1" applyBorder="1"/>
    <xf numFmtId="0" fontId="13" fillId="0" borderId="10" xfId="0" applyFont="1" applyBorder="1"/>
    <xf numFmtId="0" fontId="13" fillId="0" borderId="11" xfId="0" applyFont="1" applyBorder="1"/>
    <xf numFmtId="0" fontId="13" fillId="0" borderId="12" xfId="0" applyFont="1" applyBorder="1"/>
    <xf numFmtId="3" fontId="19" fillId="2" borderId="8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0" fillId="0" borderId="0" xfId="0" applyFont="1" applyBorder="1"/>
    <xf numFmtId="3" fontId="19" fillId="2" borderId="0" xfId="0" applyNumberFormat="1" applyFont="1" applyFill="1" applyBorder="1" applyAlignment="1">
      <alignment horizontal="center"/>
    </xf>
    <xf numFmtId="0" fontId="19" fillId="0" borderId="0" xfId="0" applyFont="1" applyBorder="1"/>
    <xf numFmtId="0" fontId="24" fillId="0" borderId="0" xfId="0" applyFont="1" applyAlignment="1">
      <alignment horizontal="center"/>
    </xf>
    <xf numFmtId="0" fontId="20" fillId="0" borderId="0" xfId="0" applyFont="1"/>
    <xf numFmtId="0" fontId="19" fillId="0" borderId="13" xfId="0" applyFont="1" applyBorder="1" applyAlignment="1">
      <alignment horizontal="left"/>
    </xf>
    <xf numFmtId="0" fontId="19" fillId="0" borderId="13" xfId="0" applyFont="1" applyBorder="1" applyAlignment="1">
      <alignment horizontal="center"/>
    </xf>
    <xf numFmtId="0" fontId="19" fillId="0" borderId="13" xfId="0" applyFont="1" applyBorder="1"/>
    <xf numFmtId="3" fontId="20" fillId="0" borderId="13" xfId="0" applyNumberFormat="1" applyFont="1" applyBorder="1"/>
    <xf numFmtId="0" fontId="19" fillId="0" borderId="0" xfId="0" applyFont="1"/>
    <xf numFmtId="3" fontId="20" fillId="0" borderId="0" xfId="0" applyNumberFormat="1" applyFont="1"/>
    <xf numFmtId="164" fontId="29" fillId="0" borderId="0" xfId="4" applyNumberFormat="1" applyFont="1" applyFill="1" applyBorder="1" applyAlignment="1" applyProtection="1">
      <alignment horizontal="centerContinuous" vertical="center"/>
    </xf>
    <xf numFmtId="164" fontId="34" fillId="0" borderId="0" xfId="0" applyNumberFormat="1" applyFont="1" applyFill="1" applyAlignment="1">
      <alignment horizontal="center" vertical="center" wrapText="1"/>
    </xf>
    <xf numFmtId="164" fontId="31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36" fillId="0" borderId="13" xfId="0" applyFont="1" applyBorder="1"/>
    <xf numFmtId="3" fontId="21" fillId="0" borderId="13" xfId="0" applyNumberFormat="1" applyFont="1" applyBorder="1"/>
    <xf numFmtId="0" fontId="15" fillId="0" borderId="14" xfId="4" applyFont="1" applyFill="1" applyBorder="1" applyAlignment="1" applyProtection="1">
      <alignment horizontal="center" vertical="center" wrapText="1"/>
    </xf>
    <xf numFmtId="0" fontId="15" fillId="0" borderId="15" xfId="4" applyFont="1" applyFill="1" applyBorder="1" applyAlignment="1" applyProtection="1">
      <alignment horizontal="center" vertical="center" wrapText="1"/>
    </xf>
    <xf numFmtId="0" fontId="15" fillId="0" borderId="16" xfId="4" applyFont="1" applyFill="1" applyBorder="1" applyAlignment="1" applyProtection="1">
      <alignment horizontal="center" vertical="center" wrapText="1"/>
    </xf>
    <xf numFmtId="0" fontId="15" fillId="0" borderId="17" xfId="4" applyFont="1" applyFill="1" applyBorder="1" applyAlignment="1" applyProtection="1">
      <alignment horizontal="left" vertical="center" wrapText="1" indent="1"/>
    </xf>
    <xf numFmtId="0" fontId="13" fillId="0" borderId="13" xfId="4" applyFont="1" applyFill="1" applyBorder="1" applyAlignment="1" applyProtection="1">
      <alignment horizontal="left" vertical="center" wrapText="1" indent="1"/>
    </xf>
    <xf numFmtId="0" fontId="13" fillId="0" borderId="18" xfId="4" applyFont="1" applyFill="1" applyBorder="1" applyAlignment="1" applyProtection="1">
      <alignment horizontal="left" vertical="center" wrapText="1" indent="1"/>
    </xf>
    <xf numFmtId="0" fontId="13" fillId="0" borderId="13" xfId="4" applyFont="1" applyFill="1" applyBorder="1" applyAlignment="1" applyProtection="1">
      <alignment horizontal="left" vertical="center" wrapText="1" indent="2"/>
    </xf>
    <xf numFmtId="0" fontId="13" fillId="0" borderId="19" xfId="4" applyFont="1" applyFill="1" applyBorder="1" applyAlignment="1" applyProtection="1">
      <alignment horizontal="left" vertical="center" wrapText="1" indent="1"/>
    </xf>
    <xf numFmtId="0" fontId="15" fillId="0" borderId="9" xfId="4" applyFont="1" applyFill="1" applyBorder="1" applyAlignment="1" applyProtection="1">
      <alignment horizontal="left" vertical="center" wrapText="1" indent="1"/>
    </xf>
    <xf numFmtId="164" fontId="15" fillId="0" borderId="7" xfId="4" applyNumberFormat="1" applyFont="1" applyFill="1" applyBorder="1" applyAlignment="1" applyProtection="1">
      <alignment horizontal="centerContinuous" vertical="center"/>
    </xf>
    <xf numFmtId="0" fontId="15" fillId="0" borderId="20" xfId="4" applyFont="1" applyFill="1" applyBorder="1" applyAlignment="1" applyProtection="1">
      <alignment vertical="center" wrapText="1"/>
    </xf>
    <xf numFmtId="0" fontId="13" fillId="0" borderId="21" xfId="4" applyFont="1" applyFill="1" applyBorder="1" applyAlignment="1" applyProtection="1">
      <alignment horizontal="left" vertical="center" wrapText="1" indent="1"/>
    </xf>
    <xf numFmtId="0" fontId="15" fillId="0" borderId="15" xfId="4" applyFont="1" applyFill="1" applyBorder="1" applyAlignment="1" applyProtection="1">
      <alignment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 applyProtection="1">
      <alignment vertical="center" wrapText="1"/>
      <protection locked="0"/>
    </xf>
    <xf numFmtId="164" fontId="13" fillId="0" borderId="19" xfId="0" applyNumberFormat="1" applyFont="1" applyFill="1" applyBorder="1" applyAlignment="1" applyProtection="1">
      <alignment horizontal="right" vertical="center" wrapText="1" indent="1"/>
      <protection locked="0"/>
    </xf>
    <xf numFmtId="0" fontId="13" fillId="0" borderId="2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 applyProtection="1">
      <alignment vertical="center" wrapText="1"/>
      <protection locked="0"/>
    </xf>
    <xf numFmtId="164" fontId="13" fillId="0" borderId="13" xfId="0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3" xfId="0" applyNumberFormat="1" applyFont="1" applyFill="1" applyBorder="1" applyAlignment="1">
      <alignment horizontal="right" vertical="center" wrapText="1"/>
    </xf>
    <xf numFmtId="16" fontId="13" fillId="0" borderId="23" xfId="0" applyNumberFormat="1" applyFont="1" applyFill="1" applyBorder="1" applyAlignment="1">
      <alignment horizontal="center" vertical="center" wrapText="1"/>
    </xf>
    <xf numFmtId="164" fontId="13" fillId="0" borderId="13" xfId="0" applyNumberFormat="1" applyFont="1" applyFill="1" applyBorder="1" applyAlignment="1" applyProtection="1">
      <alignment horizontal="right" vertical="center" wrapText="1"/>
      <protection locked="0"/>
    </xf>
    <xf numFmtId="0" fontId="38" fillId="0" borderId="0" xfId="0" applyFont="1"/>
    <xf numFmtId="0" fontId="13" fillId="0" borderId="24" xfId="0" applyFont="1" applyBorder="1"/>
    <xf numFmtId="0" fontId="13" fillId="0" borderId="25" xfId="0" applyFont="1" applyBorder="1"/>
    <xf numFmtId="0" fontId="8" fillId="0" borderId="0" xfId="0" applyFont="1" applyBorder="1" applyAlignment="1">
      <alignment horizontal="center"/>
    </xf>
    <xf numFmtId="0" fontId="15" fillId="0" borderId="0" xfId="0" applyFont="1" applyBorder="1" applyAlignment="1"/>
    <xf numFmtId="3" fontId="15" fillId="0" borderId="0" xfId="0" applyNumberFormat="1" applyFont="1" applyBorder="1" applyAlignment="1"/>
    <xf numFmtId="0" fontId="15" fillId="0" borderId="26" xfId="0" applyFont="1" applyBorder="1"/>
    <xf numFmtId="166" fontId="14" fillId="2" borderId="8" xfId="1" applyNumberFormat="1" applyFont="1" applyFill="1" applyBorder="1"/>
    <xf numFmtId="0" fontId="19" fillId="0" borderId="13" xfId="0" applyFont="1" applyFill="1" applyBorder="1"/>
    <xf numFmtId="3" fontId="20" fillId="0" borderId="13" xfId="0" applyNumberFormat="1" applyFont="1" applyFill="1" applyBorder="1"/>
    <xf numFmtId="0" fontId="0" fillId="0" borderId="0" xfId="0" applyFill="1"/>
    <xf numFmtId="0" fontId="37" fillId="0" borderId="23" xfId="0" applyFont="1" applyFill="1" applyBorder="1" applyAlignment="1">
      <alignment horizontal="center" vertical="center" wrapText="1"/>
    </xf>
    <xf numFmtId="0" fontId="37" fillId="0" borderId="13" xfId="0" applyFont="1" applyFill="1" applyBorder="1" applyAlignment="1" applyProtection="1">
      <alignment vertical="center" wrapText="1"/>
      <protection locked="0"/>
    </xf>
    <xf numFmtId="0" fontId="4" fillId="0" borderId="0" xfId="0" applyFont="1"/>
    <xf numFmtId="0" fontId="25" fillId="0" borderId="0" xfId="0" applyFont="1" applyAlignment="1">
      <alignment horizontal="center"/>
    </xf>
    <xf numFmtId="3" fontId="12" fillId="0" borderId="0" xfId="0" applyNumberFormat="1" applyFont="1"/>
    <xf numFmtId="3" fontId="26" fillId="0" borderId="0" xfId="0" applyNumberFormat="1" applyFont="1"/>
    <xf numFmtId="3" fontId="14" fillId="0" borderId="0" xfId="0" applyNumberFormat="1" applyFont="1"/>
    <xf numFmtId="3" fontId="43" fillId="0" borderId="0" xfId="0" applyNumberFormat="1" applyFont="1"/>
    <xf numFmtId="0" fontId="3" fillId="0" borderId="0" xfId="0" applyFont="1" applyAlignment="1">
      <alignment horizontal="center"/>
    </xf>
    <xf numFmtId="0" fontId="44" fillId="0" borderId="0" xfId="0" applyFont="1"/>
    <xf numFmtId="166" fontId="15" fillId="0" borderId="16" xfId="1" applyNumberFormat="1" applyFont="1" applyFill="1" applyBorder="1" applyAlignment="1" applyProtection="1">
      <alignment vertical="center" wrapText="1"/>
    </xf>
    <xf numFmtId="166" fontId="15" fillId="0" borderId="27" xfId="1" applyNumberFormat="1" applyFont="1" applyFill="1" applyBorder="1" applyAlignment="1" applyProtection="1">
      <alignment vertical="center" wrapText="1"/>
    </xf>
    <xf numFmtId="166" fontId="15" fillId="0" borderId="28" xfId="1" applyNumberFormat="1" applyFont="1" applyFill="1" applyBorder="1" applyAlignment="1" applyProtection="1">
      <alignment vertical="center" wrapText="1"/>
    </xf>
    <xf numFmtId="166" fontId="13" fillId="0" borderId="29" xfId="1" applyNumberFormat="1" applyFont="1" applyFill="1" applyBorder="1" applyAlignment="1" applyProtection="1">
      <alignment vertical="center" wrapText="1"/>
    </xf>
    <xf numFmtId="166" fontId="13" fillId="0" borderId="30" xfId="1" applyNumberFormat="1" applyFont="1" applyFill="1" applyBorder="1" applyAlignment="1" applyProtection="1">
      <alignment vertical="center" wrapText="1"/>
    </xf>
    <xf numFmtId="166" fontId="4" fillId="0" borderId="8" xfId="1" applyNumberFormat="1" applyFont="1" applyBorder="1" applyAlignment="1">
      <alignment horizontal="center"/>
    </xf>
    <xf numFmtId="166" fontId="13" fillId="2" borderId="8" xfId="1" applyNumberFormat="1" applyFont="1" applyFill="1" applyBorder="1"/>
    <xf numFmtId="0" fontId="47" fillId="0" borderId="0" xfId="0" applyFont="1"/>
    <xf numFmtId="0" fontId="49" fillId="0" borderId="0" xfId="0" applyFont="1"/>
    <xf numFmtId="0" fontId="15" fillId="0" borderId="27" xfId="4" applyFont="1" applyFill="1" applyBorder="1" applyAlignment="1" applyProtection="1">
      <alignment horizontal="left" vertical="center" wrapText="1" indent="1"/>
    </xf>
    <xf numFmtId="166" fontId="15" fillId="0" borderId="8" xfId="1" applyNumberFormat="1" applyFont="1" applyFill="1" applyBorder="1" applyAlignment="1" applyProtection="1">
      <alignment vertical="center" wrapText="1"/>
    </xf>
    <xf numFmtId="0" fontId="15" fillId="0" borderId="0" xfId="4" applyFont="1" applyFill="1" applyBorder="1" applyAlignment="1" applyProtection="1">
      <alignment horizontal="center" vertical="center" wrapText="1"/>
    </xf>
    <xf numFmtId="0" fontId="13" fillId="0" borderId="0" xfId="4" applyFont="1" applyFill="1" applyBorder="1" applyAlignment="1" applyProtection="1">
      <alignment horizontal="left" vertical="center"/>
    </xf>
    <xf numFmtId="49" fontId="13" fillId="0" borderId="0" xfId="4" applyNumberFormat="1" applyFont="1" applyFill="1" applyBorder="1" applyAlignment="1" applyProtection="1">
      <alignment horizontal="left" vertical="center"/>
    </xf>
    <xf numFmtId="0" fontId="15" fillId="0" borderId="31" xfId="0" applyFont="1" applyBorder="1"/>
    <xf numFmtId="166" fontId="13" fillId="0" borderId="24" xfId="1" applyNumberFormat="1" applyFont="1" applyBorder="1"/>
    <xf numFmtId="3" fontId="20" fillId="2" borderId="0" xfId="0" applyNumberFormat="1" applyFont="1" applyFill="1" applyBorder="1" applyAlignment="1"/>
    <xf numFmtId="3" fontId="21" fillId="2" borderId="0" xfId="0" applyNumberFormat="1" applyFont="1" applyFill="1" applyBorder="1" applyAlignment="1"/>
    <xf numFmtId="0" fontId="19" fillId="2" borderId="0" xfId="0" applyFont="1" applyFill="1" applyBorder="1" applyAlignment="1"/>
    <xf numFmtId="0" fontId="19" fillId="0" borderId="13" xfId="0" applyFont="1" applyBorder="1" applyAlignment="1">
      <alignment wrapText="1"/>
    </xf>
    <xf numFmtId="166" fontId="5" fillId="0" borderId="0" xfId="1" applyNumberFormat="1" applyFont="1"/>
    <xf numFmtId="166" fontId="14" fillId="0" borderId="8" xfId="1" applyNumberFormat="1" applyFont="1" applyFill="1" applyBorder="1"/>
    <xf numFmtId="166" fontId="0" fillId="0" borderId="0" xfId="0" applyNumberFormat="1"/>
    <xf numFmtId="166" fontId="13" fillId="0" borderId="0" xfId="1" applyNumberFormat="1" applyFont="1"/>
    <xf numFmtId="0" fontId="13" fillId="0" borderId="23" xfId="4" applyFont="1" applyFill="1" applyBorder="1" applyAlignment="1" applyProtection="1">
      <alignment horizontal="left" vertical="center" wrapText="1" indent="2"/>
    </xf>
    <xf numFmtId="166" fontId="13" fillId="0" borderId="32" xfId="1" applyNumberFormat="1" applyFont="1" applyFill="1" applyBorder="1" applyAlignment="1" applyProtection="1"/>
    <xf numFmtId="0" fontId="7" fillId="0" borderId="8" xfId="0" applyFont="1" applyBorder="1"/>
    <xf numFmtId="3" fontId="5" fillId="2" borderId="0" xfId="0" applyNumberFormat="1" applyFont="1" applyFill="1" applyBorder="1"/>
    <xf numFmtId="0" fontId="15" fillId="2" borderId="8" xfId="0" applyFont="1" applyFill="1" applyBorder="1" applyAlignment="1">
      <alignment horizontal="center"/>
    </xf>
    <xf numFmtId="3" fontId="6" fillId="2" borderId="0" xfId="0" applyNumberFormat="1" applyFont="1" applyFill="1" applyBorder="1"/>
    <xf numFmtId="3" fontId="0" fillId="2" borderId="0" xfId="0" applyNumberFormat="1" applyFill="1" applyBorder="1"/>
    <xf numFmtId="0" fontId="0" fillId="2" borderId="0" xfId="0" applyFill="1"/>
    <xf numFmtId="0" fontId="1" fillId="0" borderId="0" xfId="0" applyFont="1"/>
    <xf numFmtId="166" fontId="7" fillId="2" borderId="8" xfId="1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8" fillId="0" borderId="9" xfId="0" applyFont="1" applyBorder="1" applyAlignment="1"/>
    <xf numFmtId="0" fontId="15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166" fontId="38" fillId="0" borderId="0" xfId="1" applyNumberFormat="1" applyFo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28" fillId="2" borderId="0" xfId="0" applyFont="1" applyFill="1" applyBorder="1" applyAlignment="1">
      <alignment horizontal="center" wrapText="1"/>
    </xf>
    <xf numFmtId="3" fontId="28" fillId="2" borderId="8" xfId="0" applyNumberFormat="1" applyFont="1" applyFill="1" applyBorder="1"/>
    <xf numFmtId="3" fontId="0" fillId="2" borderId="0" xfId="0" applyNumberFormat="1" applyFill="1"/>
    <xf numFmtId="0" fontId="40" fillId="2" borderId="0" xfId="0" applyFont="1" applyFill="1"/>
    <xf numFmtId="3" fontId="40" fillId="2" borderId="0" xfId="0" applyNumberFormat="1" applyFont="1" applyFill="1"/>
    <xf numFmtId="3" fontId="5" fillId="2" borderId="0" xfId="0" applyNumberFormat="1" applyFont="1" applyFill="1"/>
    <xf numFmtId="0" fontId="5" fillId="2" borderId="0" xfId="0" applyFont="1" applyFill="1"/>
    <xf numFmtId="0" fontId="15" fillId="0" borderId="3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3" fontId="14" fillId="0" borderId="0" xfId="0" applyNumberFormat="1" applyFont="1" applyAlignment="1">
      <alignment horizontal="center"/>
    </xf>
    <xf numFmtId="0" fontId="55" fillId="0" borderId="0" xfId="4" applyFont="1" applyFill="1"/>
    <xf numFmtId="164" fontId="35" fillId="0" borderId="0" xfId="4" applyNumberFormat="1" applyFont="1" applyFill="1" applyBorder="1" applyAlignment="1" applyProtection="1">
      <alignment horizontal="centerContinuous" vertical="center"/>
    </xf>
    <xf numFmtId="0" fontId="56" fillId="0" borderId="0" xfId="3" applyFont="1" applyFill="1" applyBorder="1" applyAlignment="1" applyProtection="1"/>
    <xf numFmtId="0" fontId="58" fillId="0" borderId="21" xfId="4" applyFont="1" applyFill="1" applyBorder="1" applyAlignment="1">
      <alignment horizontal="center" vertical="center" wrapText="1"/>
    </xf>
    <xf numFmtId="0" fontId="59" fillId="0" borderId="0" xfId="3" applyFont="1" applyFill="1" applyBorder="1" applyAlignment="1" applyProtection="1">
      <alignment horizontal="right"/>
    </xf>
    <xf numFmtId="0" fontId="60" fillId="0" borderId="22" xfId="4" applyFont="1" applyFill="1" applyBorder="1" applyAlignment="1" applyProtection="1">
      <alignment horizontal="center" vertical="center" wrapText="1"/>
    </xf>
    <xf numFmtId="0" fontId="60" fillId="0" borderId="19" xfId="4" applyFont="1" applyFill="1" applyBorder="1" applyAlignment="1" applyProtection="1">
      <alignment horizontal="center" vertical="center" wrapText="1"/>
    </xf>
    <xf numFmtId="0" fontId="60" fillId="0" borderId="34" xfId="4" applyFont="1" applyFill="1" applyBorder="1" applyAlignment="1" applyProtection="1">
      <alignment horizontal="center" vertical="center" wrapText="1"/>
    </xf>
    <xf numFmtId="0" fontId="32" fillId="0" borderId="14" xfId="4" applyFont="1" applyFill="1" applyBorder="1" applyAlignment="1" applyProtection="1">
      <alignment horizontal="center" vertical="center"/>
    </xf>
    <xf numFmtId="0" fontId="32" fillId="0" borderId="15" xfId="4" applyFont="1" applyFill="1" applyBorder="1" applyAlignment="1" applyProtection="1">
      <alignment horizontal="center" vertical="center"/>
    </xf>
    <xf numFmtId="0" fontId="32" fillId="0" borderId="22" xfId="4" applyFont="1" applyFill="1" applyBorder="1" applyAlignment="1" applyProtection="1">
      <alignment horizontal="center" vertical="center"/>
    </xf>
    <xf numFmtId="0" fontId="32" fillId="0" borderId="23" xfId="4" applyFont="1" applyFill="1" applyBorder="1" applyAlignment="1" applyProtection="1">
      <alignment horizontal="center" vertical="center"/>
    </xf>
    <xf numFmtId="0" fontId="32" fillId="0" borderId="35" xfId="4" applyFont="1" applyFill="1" applyBorder="1" applyAlignment="1" applyProtection="1">
      <alignment horizontal="center" vertical="center"/>
    </xf>
    <xf numFmtId="0" fontId="13" fillId="0" borderId="24" xfId="0" applyFont="1" applyBorder="1" applyAlignment="1">
      <alignment wrapText="1"/>
    </xf>
    <xf numFmtId="0" fontId="15" fillId="0" borderId="8" xfId="0" applyFont="1" applyBorder="1" applyAlignment="1">
      <alignment wrapText="1"/>
    </xf>
    <xf numFmtId="3" fontId="15" fillId="0" borderId="8" xfId="0" applyNumberFormat="1" applyFont="1" applyBorder="1" applyAlignment="1">
      <alignment horizontal="center"/>
    </xf>
    <xf numFmtId="166" fontId="13" fillId="0" borderId="10" xfId="1" applyNumberFormat="1" applyFont="1" applyBorder="1"/>
    <xf numFmtId="166" fontId="13" fillId="0" borderId="11" xfId="1" applyNumberFormat="1" applyFont="1" applyBorder="1"/>
    <xf numFmtId="166" fontId="13" fillId="0" borderId="12" xfId="1" applyNumberFormat="1" applyFont="1" applyBorder="1"/>
    <xf numFmtId="3" fontId="13" fillId="0" borderId="13" xfId="0" applyNumberFormat="1" applyFont="1" applyBorder="1" applyAlignment="1">
      <alignment horizontal="center"/>
    </xf>
    <xf numFmtId="166" fontId="13" fillId="0" borderId="36" xfId="1" applyNumberFormat="1" applyFont="1" applyBorder="1" applyAlignment="1">
      <alignment horizontal="center"/>
    </xf>
    <xf numFmtId="166" fontId="13" fillId="0" borderId="37" xfId="1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166" fontId="13" fillId="0" borderId="0" xfId="1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166" fontId="15" fillId="0" borderId="8" xfId="1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6" fontId="13" fillId="0" borderId="1" xfId="1" applyNumberFormat="1" applyFont="1" applyBorder="1" applyAlignment="1">
      <alignment horizontal="center"/>
    </xf>
    <xf numFmtId="3" fontId="5" fillId="0" borderId="0" xfId="0" applyNumberFormat="1" applyFont="1" applyFill="1" applyBorder="1"/>
    <xf numFmtId="166" fontId="13" fillId="0" borderId="38" xfId="1" applyNumberFormat="1" applyFont="1" applyBorder="1"/>
    <xf numFmtId="0" fontId="62" fillId="0" borderId="0" xfId="4" applyFont="1" applyFill="1"/>
    <xf numFmtId="166" fontId="1" fillId="0" borderId="0" xfId="1" applyNumberFormat="1" applyFont="1"/>
    <xf numFmtId="0" fontId="7" fillId="2" borderId="7" xfId="0" applyFont="1" applyFill="1" applyBorder="1" applyAlignment="1">
      <alignment horizontal="center"/>
    </xf>
    <xf numFmtId="166" fontId="64" fillId="0" borderId="0" xfId="1" applyNumberFormat="1" applyFont="1"/>
    <xf numFmtId="0" fontId="64" fillId="0" borderId="0" xfId="0" applyFont="1"/>
    <xf numFmtId="3" fontId="19" fillId="2" borderId="8" xfId="0" applyNumberFormat="1" applyFont="1" applyFill="1" applyBorder="1" applyAlignment="1">
      <alignment horizontal="center" vertical="center"/>
    </xf>
    <xf numFmtId="166" fontId="4" fillId="2" borderId="41" xfId="0" applyNumberFormat="1" applyFont="1" applyFill="1" applyBorder="1"/>
    <xf numFmtId="166" fontId="4" fillId="2" borderId="8" xfId="0" applyNumberFormat="1" applyFont="1" applyFill="1" applyBorder="1"/>
    <xf numFmtId="0" fontId="4" fillId="2" borderId="0" xfId="0" applyFont="1" applyFill="1"/>
    <xf numFmtId="166" fontId="16" fillId="0" borderId="8" xfId="1" applyNumberFormat="1" applyFont="1" applyFill="1" applyBorder="1" applyAlignment="1" applyProtection="1">
      <alignment vertical="center" wrapText="1"/>
    </xf>
    <xf numFmtId="0" fontId="13" fillId="0" borderId="9" xfId="4" applyFont="1" applyFill="1" applyBorder="1" applyAlignment="1" applyProtection="1">
      <alignment horizontal="left" vertical="center" wrapText="1"/>
    </xf>
    <xf numFmtId="166" fontId="13" fillId="0" borderId="27" xfId="1" applyNumberFormat="1" applyFont="1" applyFill="1" applyBorder="1" applyAlignment="1" applyProtection="1">
      <alignment vertical="center" wrapText="1"/>
    </xf>
    <xf numFmtId="0" fontId="15" fillId="0" borderId="27" xfId="4" applyFont="1" applyFill="1" applyBorder="1" applyAlignment="1" applyProtection="1">
      <alignment vertical="center" wrapText="1"/>
    </xf>
    <xf numFmtId="166" fontId="2" fillId="0" borderId="8" xfId="1" applyNumberFormat="1" applyFont="1" applyFill="1" applyBorder="1" applyAlignment="1">
      <alignment horizontal="center"/>
    </xf>
    <xf numFmtId="0" fontId="13" fillId="0" borderId="25" xfId="0" applyFont="1" applyBorder="1" applyAlignment="1">
      <alignment wrapText="1"/>
    </xf>
    <xf numFmtId="3" fontId="85" fillId="0" borderId="0" xfId="0" applyNumberFormat="1" applyFont="1" applyBorder="1"/>
    <xf numFmtId="0" fontId="86" fillId="0" borderId="0" xfId="0" applyFont="1"/>
    <xf numFmtId="3" fontId="65" fillId="0" borderId="0" xfId="0" applyNumberFormat="1" applyFont="1" applyBorder="1"/>
    <xf numFmtId="3" fontId="66" fillId="2" borderId="4" xfId="0" applyNumberFormat="1" applyFont="1" applyFill="1" applyBorder="1" applyAlignment="1">
      <alignment vertical="center"/>
    </xf>
    <xf numFmtId="3" fontId="67" fillId="0" borderId="0" xfId="0" applyNumberFormat="1" applyFont="1" applyBorder="1"/>
    <xf numFmtId="0" fontId="68" fillId="0" borderId="0" xfId="0" applyFont="1"/>
    <xf numFmtId="164" fontId="35" fillId="0" borderId="0" xfId="4" applyNumberFormat="1" applyFont="1" applyFill="1" applyBorder="1" applyAlignment="1" applyProtection="1">
      <alignment horizontal="center" vertical="center"/>
    </xf>
    <xf numFmtId="166" fontId="15" fillId="0" borderId="8" xfId="1" applyNumberFormat="1" applyFont="1" applyBorder="1"/>
    <xf numFmtId="166" fontId="13" fillId="0" borderId="25" xfId="1" applyNumberFormat="1" applyFont="1" applyBorder="1"/>
    <xf numFmtId="166" fontId="15" fillId="0" borderId="33" xfId="1" applyNumberFormat="1" applyFont="1" applyBorder="1"/>
    <xf numFmtId="166" fontId="15" fillId="0" borderId="4" xfId="1" applyNumberFormat="1" applyFont="1" applyBorder="1"/>
    <xf numFmtId="0" fontId="15" fillId="0" borderId="20" xfId="4" applyFont="1" applyFill="1" applyBorder="1" applyAlignment="1" applyProtection="1">
      <alignment horizontal="left" vertical="center" wrapText="1" indent="1"/>
    </xf>
    <xf numFmtId="3" fontId="14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3" fontId="26" fillId="0" borderId="0" xfId="0" applyNumberFormat="1" applyFont="1" applyAlignment="1">
      <alignment vertical="center"/>
    </xf>
    <xf numFmtId="166" fontId="69" fillId="0" borderId="43" xfId="1" applyNumberFormat="1" applyFont="1" applyFill="1" applyBorder="1" applyProtection="1"/>
    <xf numFmtId="0" fontId="70" fillId="0" borderId="0" xfId="4" applyFont="1" applyFill="1"/>
    <xf numFmtId="0" fontId="69" fillId="0" borderId="0" xfId="4" applyFont="1" applyFill="1"/>
    <xf numFmtId="9" fontId="69" fillId="0" borderId="8" xfId="1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right"/>
    </xf>
    <xf numFmtId="0" fontId="8" fillId="0" borderId="0" xfId="0" applyFont="1" applyAlignment="1">
      <alignment wrapText="1"/>
    </xf>
    <xf numFmtId="166" fontId="13" fillId="0" borderId="0" xfId="1" applyNumberFormat="1" applyFont="1" applyFill="1" applyBorder="1"/>
    <xf numFmtId="164" fontId="13" fillId="0" borderId="45" xfId="4" applyNumberFormat="1" applyFont="1" applyFill="1" applyBorder="1" applyAlignment="1" applyProtection="1">
      <alignment horizontal="center" vertical="center" wrapText="1"/>
      <protection locked="0"/>
    </xf>
    <xf numFmtId="166" fontId="13" fillId="0" borderId="37" xfId="1" applyNumberFormat="1" applyFont="1" applyFill="1" applyBorder="1" applyAlignment="1">
      <alignment horizontal="center"/>
    </xf>
    <xf numFmtId="166" fontId="13" fillId="0" borderId="36" xfId="1" applyNumberFormat="1" applyFont="1" applyFill="1" applyBorder="1" applyAlignment="1">
      <alignment horizontal="center"/>
    </xf>
    <xf numFmtId="3" fontId="72" fillId="2" borderId="8" xfId="0" applyNumberFormat="1" applyFont="1" applyFill="1" applyBorder="1"/>
    <xf numFmtId="166" fontId="73" fillId="0" borderId="0" xfId="1" applyNumberFormat="1" applyFont="1"/>
    <xf numFmtId="0" fontId="73" fillId="0" borderId="0" xfId="0" applyFont="1"/>
    <xf numFmtId="166" fontId="74" fillId="0" borderId="0" xfId="1" applyNumberFormat="1" applyFont="1"/>
    <xf numFmtId="0" fontId="74" fillId="0" borderId="0" xfId="0" applyFont="1"/>
    <xf numFmtId="166" fontId="47" fillId="0" borderId="0" xfId="1" applyNumberFormat="1" applyFont="1"/>
    <xf numFmtId="0" fontId="0" fillId="0" borderId="0" xfId="0" applyAlignment="1">
      <alignment horizontal="right"/>
    </xf>
    <xf numFmtId="0" fontId="13" fillId="0" borderId="13" xfId="0" applyFont="1" applyBorder="1"/>
    <xf numFmtId="166" fontId="14" fillId="2" borderId="13" xfId="1" applyNumberFormat="1" applyFont="1" applyFill="1" applyBorder="1"/>
    <xf numFmtId="166" fontId="4" fillId="0" borderId="13" xfId="1" applyNumberFormat="1" applyFont="1" applyBorder="1" applyAlignment="1">
      <alignment horizontal="center"/>
    </xf>
    <xf numFmtId="166" fontId="11" fillId="0" borderId="13" xfId="1" applyNumberFormat="1" applyFont="1" applyBorder="1" applyAlignment="1">
      <alignment horizontal="center"/>
    </xf>
    <xf numFmtId="3" fontId="13" fillId="0" borderId="13" xfId="0" applyNumberFormat="1" applyFont="1" applyBorder="1" applyAlignment="1">
      <alignment horizontal="right"/>
    </xf>
    <xf numFmtId="166" fontId="13" fillId="0" borderId="8" xfId="1" applyNumberFormat="1" applyFont="1" applyBorder="1" applyAlignment="1">
      <alignment horizontal="center"/>
    </xf>
    <xf numFmtId="0" fontId="75" fillId="0" borderId="12" xfId="0" applyFont="1" applyBorder="1"/>
    <xf numFmtId="0" fontId="15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18" fillId="0" borderId="0" xfId="0" applyFont="1" applyBorder="1" applyAlignment="1">
      <alignment horizontal="right"/>
    </xf>
    <xf numFmtId="0" fontId="0" fillId="0" borderId="0" xfId="0" applyFont="1"/>
    <xf numFmtId="166" fontId="13" fillId="0" borderId="8" xfId="1" applyNumberFormat="1" applyFont="1" applyBorder="1"/>
    <xf numFmtId="166" fontId="11" fillId="0" borderId="0" xfId="1" applyNumberFormat="1" applyFont="1"/>
    <xf numFmtId="166" fontId="13" fillId="0" borderId="8" xfId="1" applyNumberFormat="1" applyFont="1" applyBorder="1" applyAlignment="1">
      <alignment wrapText="1"/>
    </xf>
    <xf numFmtId="166" fontId="7" fillId="0" borderId="8" xfId="1" applyNumberFormat="1" applyFont="1" applyBorder="1" applyAlignment="1">
      <alignment horizontal="center"/>
    </xf>
    <xf numFmtId="43" fontId="7" fillId="0" borderId="8" xfId="1" applyFont="1" applyBorder="1" applyAlignment="1">
      <alignment horizontal="center"/>
    </xf>
    <xf numFmtId="49" fontId="13" fillId="0" borderId="23" xfId="0" applyNumberFormat="1" applyFont="1" applyFill="1" applyBorder="1" applyAlignment="1">
      <alignment horizontal="center" vertical="center" wrapText="1"/>
    </xf>
    <xf numFmtId="166" fontId="6" fillId="0" borderId="44" xfId="1" applyNumberFormat="1" applyFont="1" applyBorder="1"/>
    <xf numFmtId="166" fontId="5" fillId="0" borderId="13" xfId="1" applyNumberFormat="1" applyFont="1" applyBorder="1"/>
    <xf numFmtId="166" fontId="5" fillId="0" borderId="19" xfId="1" applyNumberFormat="1" applyFont="1" applyBorder="1"/>
    <xf numFmtId="166" fontId="5" fillId="0" borderId="39" xfId="1" applyNumberFormat="1" applyFont="1" applyBorder="1"/>
    <xf numFmtId="166" fontId="5" fillId="0" borderId="32" xfId="1" applyNumberFormat="1" applyFont="1" applyBorder="1"/>
    <xf numFmtId="0" fontId="5" fillId="0" borderId="23" xfId="0" applyFont="1" applyBorder="1"/>
    <xf numFmtId="166" fontId="5" fillId="0" borderId="30" xfId="1" applyNumberFormat="1" applyFont="1" applyBorder="1"/>
    <xf numFmtId="166" fontId="5" fillId="0" borderId="29" xfId="1" applyNumberFormat="1" applyFont="1" applyBorder="1"/>
    <xf numFmtId="166" fontId="5" fillId="0" borderId="47" xfId="1" applyNumberFormat="1" applyFont="1" applyBorder="1"/>
    <xf numFmtId="3" fontId="5" fillId="0" borderId="22" xfId="0" applyNumberFormat="1" applyFont="1" applyBorder="1" applyAlignment="1">
      <alignment wrapText="1"/>
    </xf>
    <xf numFmtId="3" fontId="5" fillId="0" borderId="23" xfId="0" applyNumberFormat="1" applyFont="1" applyBorder="1"/>
    <xf numFmtId="3" fontId="5" fillId="0" borderId="23" xfId="0" applyNumberFormat="1" applyFont="1" applyBorder="1" applyAlignment="1">
      <alignment wrapText="1"/>
    </xf>
    <xf numFmtId="3" fontId="5" fillId="0" borderId="48" xfId="0" applyNumberFormat="1" applyFont="1" applyBorder="1" applyAlignment="1">
      <alignment wrapText="1"/>
    </xf>
    <xf numFmtId="166" fontId="5" fillId="0" borderId="40" xfId="1" applyNumberFormat="1" applyFont="1" applyFill="1" applyBorder="1"/>
    <xf numFmtId="3" fontId="28" fillId="0" borderId="13" xfId="0" applyNumberFormat="1" applyFont="1" applyFill="1" applyBorder="1"/>
    <xf numFmtId="3" fontId="27" fillId="0" borderId="8" xfId="0" applyNumberFormat="1" applyFont="1" applyFill="1" applyBorder="1" applyAlignment="1">
      <alignment wrapText="1"/>
    </xf>
    <xf numFmtId="3" fontId="76" fillId="0" borderId="2" xfId="0" applyNumberFormat="1" applyFont="1" applyFill="1" applyBorder="1" applyAlignment="1">
      <alignment wrapText="1"/>
    </xf>
    <xf numFmtId="3" fontId="28" fillId="0" borderId="15" xfId="0" applyNumberFormat="1" applyFont="1" applyFill="1" applyBorder="1"/>
    <xf numFmtId="3" fontId="76" fillId="0" borderId="18" xfId="0" applyNumberFormat="1" applyFont="1" applyFill="1" applyBorder="1"/>
    <xf numFmtId="3" fontId="76" fillId="2" borderId="18" xfId="0" applyNumberFormat="1" applyFont="1" applyFill="1" applyBorder="1"/>
    <xf numFmtId="3" fontId="76" fillId="0" borderId="13" xfId="0" applyNumberFormat="1" applyFont="1" applyFill="1" applyBorder="1"/>
    <xf numFmtId="3" fontId="76" fillId="2" borderId="13" xfId="0" applyNumberFormat="1" applyFont="1" applyFill="1" applyBorder="1"/>
    <xf numFmtId="3" fontId="77" fillId="0" borderId="21" xfId="0" applyNumberFormat="1" applyFont="1" applyFill="1" applyBorder="1"/>
    <xf numFmtId="3" fontId="77" fillId="2" borderId="21" xfId="0" applyNumberFormat="1" applyFont="1" applyFill="1" applyBorder="1"/>
    <xf numFmtId="3" fontId="28" fillId="0" borderId="21" xfId="0" applyNumberFormat="1" applyFont="1" applyFill="1" applyBorder="1"/>
    <xf numFmtId="3" fontId="76" fillId="0" borderId="21" xfId="0" applyNumberFormat="1" applyFont="1" applyFill="1" applyBorder="1"/>
    <xf numFmtId="3" fontId="76" fillId="2" borderId="21" xfId="0" applyNumberFormat="1" applyFont="1" applyFill="1" applyBorder="1"/>
    <xf numFmtId="3" fontId="78" fillId="0" borderId="13" xfId="0" applyNumberFormat="1" applyFont="1" applyFill="1" applyBorder="1"/>
    <xf numFmtId="3" fontId="28" fillId="2" borderId="4" xfId="0" applyNumberFormat="1" applyFont="1" applyFill="1" applyBorder="1"/>
    <xf numFmtId="3" fontId="28" fillId="2" borderId="31" xfId="0" applyNumberFormat="1" applyFont="1" applyFill="1" applyBorder="1" applyAlignment="1">
      <alignment wrapText="1"/>
    </xf>
    <xf numFmtId="3" fontId="27" fillId="2" borderId="31" xfId="0" applyNumberFormat="1" applyFont="1" applyFill="1" applyBorder="1" applyAlignment="1">
      <alignment wrapText="1"/>
    </xf>
    <xf numFmtId="3" fontId="78" fillId="2" borderId="19" xfId="0" applyNumberFormat="1" applyFont="1" applyFill="1" applyBorder="1"/>
    <xf numFmtId="3" fontId="79" fillId="2" borderId="13" xfId="0" applyNumberFormat="1" applyFont="1" applyFill="1" applyBorder="1"/>
    <xf numFmtId="3" fontId="77" fillId="2" borderId="13" xfId="0" applyNumberFormat="1" applyFont="1" applyFill="1" applyBorder="1"/>
    <xf numFmtId="3" fontId="79" fillId="2" borderId="32" xfId="0" applyNumberFormat="1" applyFont="1" applyFill="1" applyBorder="1"/>
    <xf numFmtId="3" fontId="79" fillId="2" borderId="13" xfId="0" applyNumberFormat="1" applyFont="1" applyFill="1" applyBorder="1" applyAlignment="1">
      <alignment horizontal="right"/>
    </xf>
    <xf numFmtId="3" fontId="77" fillId="2" borderId="13" xfId="0" applyNumberFormat="1" applyFont="1" applyFill="1" applyBorder="1" applyAlignment="1">
      <alignment horizontal="right"/>
    </xf>
    <xf numFmtId="3" fontId="77" fillId="2" borderId="32" xfId="0" applyNumberFormat="1" applyFont="1" applyFill="1" applyBorder="1"/>
    <xf numFmtId="3" fontId="76" fillId="2" borderId="8" xfId="0" applyNumberFormat="1" applyFont="1" applyFill="1" applyBorder="1" applyAlignment="1">
      <alignment wrapText="1"/>
    </xf>
    <xf numFmtId="3" fontId="79" fillId="2" borderId="49" xfId="0" applyNumberFormat="1" applyFont="1" applyFill="1" applyBorder="1"/>
    <xf numFmtId="3" fontId="79" fillId="2" borderId="15" xfId="0" applyNumberFormat="1" applyFont="1" applyFill="1" applyBorder="1"/>
    <xf numFmtId="3" fontId="77" fillId="2" borderId="15" xfId="0" applyNumberFormat="1" applyFont="1" applyFill="1" applyBorder="1"/>
    <xf numFmtId="3" fontId="77" fillId="2" borderId="16" xfId="0" applyNumberFormat="1" applyFont="1" applyFill="1" applyBorder="1"/>
    <xf numFmtId="166" fontId="13" fillId="0" borderId="44" xfId="1" applyNumberFormat="1" applyFont="1" applyBorder="1"/>
    <xf numFmtId="166" fontId="13" fillId="0" borderId="44" xfId="1" applyNumberFormat="1" applyFont="1" applyFill="1" applyBorder="1"/>
    <xf numFmtId="166" fontId="15" fillId="0" borderId="4" xfId="1" applyNumberFormat="1" applyFont="1" applyBorder="1" applyAlignment="1">
      <alignment horizontal="right"/>
    </xf>
    <xf numFmtId="166" fontId="15" fillId="0" borderId="9" xfId="1" applyNumberFormat="1" applyFont="1" applyBorder="1"/>
    <xf numFmtId="166" fontId="14" fillId="0" borderId="13" xfId="1" applyNumberFormat="1" applyFont="1" applyBorder="1"/>
    <xf numFmtId="166" fontId="14" fillId="0" borderId="39" xfId="1" applyNumberFormat="1" applyFont="1" applyBorder="1"/>
    <xf numFmtId="166" fontId="14" fillId="0" borderId="21" xfId="1" applyNumberFormat="1" applyFont="1" applyBorder="1"/>
    <xf numFmtId="166" fontId="14" fillId="0" borderId="42" xfId="1" applyNumberFormat="1" applyFont="1" applyBorder="1"/>
    <xf numFmtId="166" fontId="14" fillId="0" borderId="32" xfId="1" applyNumberFormat="1" applyFont="1" applyBorder="1"/>
    <xf numFmtId="166" fontId="14" fillId="0" borderId="40" xfId="1" applyNumberFormat="1" applyFont="1" applyBorder="1"/>
    <xf numFmtId="3" fontId="76" fillId="2" borderId="46" xfId="0" applyNumberFormat="1" applyFont="1" applyFill="1" applyBorder="1"/>
    <xf numFmtId="3" fontId="76" fillId="2" borderId="29" xfId="0" applyNumberFormat="1" applyFont="1" applyFill="1" applyBorder="1"/>
    <xf numFmtId="3" fontId="77" fillId="2" borderId="50" xfId="0" applyNumberFormat="1" applyFont="1" applyFill="1" applyBorder="1"/>
    <xf numFmtId="166" fontId="15" fillId="0" borderId="29" xfId="1" applyNumberFormat="1" applyFont="1" applyFill="1" applyBorder="1" applyAlignment="1" applyProtection="1">
      <alignment vertical="center" wrapText="1"/>
    </xf>
    <xf numFmtId="166" fontId="15" fillId="0" borderId="51" xfId="1" applyNumberFormat="1" applyFont="1" applyFill="1" applyBorder="1" applyAlignment="1" applyProtection="1">
      <alignment vertical="center" wrapText="1"/>
    </xf>
    <xf numFmtId="0" fontId="13" fillId="0" borderId="14" xfId="4" applyFont="1" applyFill="1" applyBorder="1" applyAlignment="1" applyProtection="1">
      <alignment horizontal="left" vertical="center" wrapText="1" indent="1"/>
    </xf>
    <xf numFmtId="166" fontId="13" fillId="2" borderId="27" xfId="1" applyNumberFormat="1" applyFont="1" applyFill="1" applyBorder="1" applyAlignment="1" applyProtection="1">
      <alignment vertical="center" wrapText="1"/>
    </xf>
    <xf numFmtId="0" fontId="13" fillId="0" borderId="27" xfId="4" applyFont="1" applyFill="1" applyBorder="1" applyAlignment="1" applyProtection="1">
      <alignment horizontal="left" vertical="center" wrapText="1" indent="1"/>
    </xf>
    <xf numFmtId="166" fontId="13" fillId="0" borderId="8" xfId="1" applyNumberFormat="1" applyFont="1" applyFill="1" applyBorder="1" applyAlignment="1" applyProtection="1">
      <alignment vertical="center" wrapText="1"/>
    </xf>
    <xf numFmtId="0" fontId="37" fillId="0" borderId="19" xfId="4" applyFont="1" applyFill="1" applyBorder="1" applyAlignment="1" applyProtection="1">
      <alignment horizontal="left" vertical="center" wrapText="1" indent="1"/>
    </xf>
    <xf numFmtId="0" fontId="37" fillId="0" borderId="13" xfId="4" applyFont="1" applyFill="1" applyBorder="1" applyAlignment="1" applyProtection="1">
      <alignment horizontal="left" vertical="center" wrapText="1" indent="1"/>
    </xf>
    <xf numFmtId="0" fontId="15" fillId="0" borderId="22" xfId="4" applyFont="1" applyFill="1" applyBorder="1" applyAlignment="1" applyProtection="1">
      <alignment horizontal="left" vertical="center" wrapText="1" indent="1"/>
    </xf>
    <xf numFmtId="166" fontId="15" fillId="0" borderId="30" xfId="1" applyNumberFormat="1" applyFont="1" applyFill="1" applyBorder="1" applyAlignment="1" applyProtection="1">
      <alignment vertical="center" wrapText="1"/>
    </xf>
    <xf numFmtId="0" fontId="15" fillId="0" borderId="23" xfId="4" applyFont="1" applyFill="1" applyBorder="1" applyAlignment="1" applyProtection="1">
      <alignment horizontal="left" vertical="center" wrapText="1" indent="1"/>
    </xf>
    <xf numFmtId="0" fontId="15" fillId="0" borderId="52" xfId="4" applyFont="1" applyFill="1" applyBorder="1" applyAlignment="1" applyProtection="1">
      <alignment horizontal="left" vertical="center" wrapText="1" indent="1"/>
    </xf>
    <xf numFmtId="166" fontId="15" fillId="0" borderId="53" xfId="1" applyNumberFormat="1" applyFont="1" applyFill="1" applyBorder="1" applyAlignment="1" applyProtection="1">
      <alignment vertical="center" wrapText="1"/>
    </xf>
    <xf numFmtId="166" fontId="4" fillId="0" borderId="8" xfId="1" applyNumberFormat="1" applyFont="1" applyBorder="1" applyAlignment="1"/>
    <xf numFmtId="0" fontId="15" fillId="0" borderId="15" xfId="4" applyFont="1" applyFill="1" applyBorder="1" applyAlignment="1" applyProtection="1">
      <alignment horizontal="left" vertical="center" wrapText="1"/>
    </xf>
    <xf numFmtId="0" fontId="15" fillId="0" borderId="14" xfId="4" applyFont="1" applyFill="1" applyBorder="1" applyAlignment="1" applyProtection="1">
      <alignment horizontal="left" vertical="center" wrapText="1"/>
    </xf>
    <xf numFmtId="0" fontId="15" fillId="0" borderId="14" xfId="4" applyFont="1" applyFill="1" applyBorder="1" applyAlignment="1" applyProtection="1">
      <alignment horizontal="left"/>
    </xf>
    <xf numFmtId="0" fontId="15" fillId="0" borderId="54" xfId="4" applyFont="1" applyFill="1" applyBorder="1" applyAlignment="1" applyProtection="1">
      <alignment horizontal="left" vertical="center" wrapText="1"/>
    </xf>
    <xf numFmtId="0" fontId="13" fillId="0" borderId="23" xfId="4" applyFont="1" applyFill="1" applyBorder="1" applyAlignment="1" applyProtection="1">
      <alignment horizontal="left" indent="1"/>
    </xf>
    <xf numFmtId="0" fontId="13" fillId="0" borderId="48" xfId="4" applyFont="1" applyFill="1" applyBorder="1" applyAlignment="1" applyProtection="1">
      <alignment horizontal="left" indent="1"/>
    </xf>
    <xf numFmtId="164" fontId="13" fillId="0" borderId="34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42" xfId="4" applyNumberFormat="1" applyFont="1" applyFill="1" applyBorder="1" applyAlignment="1" applyProtection="1">
      <alignment horizontal="center" vertical="center" wrapText="1"/>
      <protection locked="0"/>
    </xf>
    <xf numFmtId="164" fontId="15" fillId="0" borderId="16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39" xfId="4" applyNumberFormat="1" applyFont="1" applyFill="1" applyBorder="1" applyAlignment="1" applyProtection="1">
      <alignment horizontal="center" vertical="center" wrapText="1"/>
      <protection locked="0"/>
    </xf>
    <xf numFmtId="164" fontId="13" fillId="0" borderId="40" xfId="4" applyNumberFormat="1" applyFont="1" applyFill="1" applyBorder="1" applyAlignment="1" applyProtection="1">
      <alignment horizontal="center" vertical="center" wrapText="1"/>
      <protection locked="0"/>
    </xf>
    <xf numFmtId="164" fontId="15" fillId="0" borderId="43" xfId="4" applyNumberFormat="1" applyFont="1" applyFill="1" applyBorder="1" applyAlignment="1" applyProtection="1">
      <alignment horizontal="center" vertical="center" wrapText="1"/>
      <protection locked="0"/>
    </xf>
    <xf numFmtId="164" fontId="15" fillId="0" borderId="16" xfId="4" applyNumberFormat="1" applyFont="1" applyFill="1" applyBorder="1" applyAlignment="1" applyProtection="1">
      <alignment horizontal="center" vertical="center" wrapText="1"/>
    </xf>
    <xf numFmtId="164" fontId="29" fillId="0" borderId="0" xfId="4" applyNumberFormat="1" applyFont="1" applyFill="1" applyBorder="1" applyAlignment="1" applyProtection="1">
      <alignment vertical="center"/>
    </xf>
    <xf numFmtId="166" fontId="29" fillId="0" borderId="0" xfId="1" applyNumberFormat="1" applyFont="1" applyFill="1" applyBorder="1" applyAlignment="1" applyProtection="1">
      <alignment vertical="center"/>
    </xf>
    <xf numFmtId="166" fontId="13" fillId="0" borderId="14" xfId="1" applyNumberFormat="1" applyFont="1" applyFill="1" applyBorder="1" applyAlignment="1" applyProtection="1">
      <alignment vertical="center" wrapText="1"/>
    </xf>
    <xf numFmtId="0" fontId="13" fillId="0" borderId="0" xfId="4" applyFont="1" applyFill="1" applyBorder="1" applyAlignment="1" applyProtection="1">
      <alignment vertical="center"/>
    </xf>
    <xf numFmtId="164" fontId="15" fillId="0" borderId="7" xfId="4" applyNumberFormat="1" applyFont="1" applyFill="1" applyBorder="1" applyAlignment="1" applyProtection="1">
      <alignment vertical="center"/>
    </xf>
    <xf numFmtId="166" fontId="16" fillId="0" borderId="7" xfId="1" applyNumberFormat="1" applyFont="1" applyFill="1" applyBorder="1" applyAlignment="1" applyProtection="1"/>
    <xf numFmtId="166" fontId="13" fillId="0" borderId="50" xfId="1" applyNumberFormat="1" applyFont="1" applyFill="1" applyBorder="1" applyAlignment="1" applyProtection="1">
      <alignment vertical="center" wrapText="1"/>
    </xf>
    <xf numFmtId="166" fontId="15" fillId="0" borderId="15" xfId="1" applyNumberFormat="1" applyFont="1" applyFill="1" applyBorder="1" applyAlignment="1" applyProtection="1">
      <alignment vertical="center" wrapText="1"/>
    </xf>
    <xf numFmtId="166" fontId="15" fillId="0" borderId="27" xfId="1" applyNumberFormat="1" applyFont="1" applyFill="1" applyBorder="1" applyAlignment="1" applyProtection="1"/>
    <xf numFmtId="166" fontId="13" fillId="0" borderId="13" xfId="1" applyNumberFormat="1" applyFont="1" applyFill="1" applyBorder="1" applyAlignment="1" applyProtection="1"/>
    <xf numFmtId="166" fontId="13" fillId="0" borderId="46" xfId="1" applyNumberFormat="1" applyFont="1" applyFill="1" applyBorder="1" applyAlignment="1" applyProtection="1">
      <alignment vertical="center" wrapText="1"/>
    </xf>
    <xf numFmtId="0" fontId="0" fillId="0" borderId="0" xfId="0" applyAlignment="1"/>
    <xf numFmtId="166" fontId="1" fillId="0" borderId="0" xfId="1" applyNumberFormat="1" applyFont="1" applyAlignment="1"/>
    <xf numFmtId="3" fontId="77" fillId="2" borderId="55" xfId="0" applyNumberFormat="1" applyFont="1" applyFill="1" applyBorder="1"/>
    <xf numFmtId="3" fontId="77" fillId="2" borderId="51" xfId="0" applyNumberFormat="1" applyFont="1" applyFill="1" applyBorder="1"/>
    <xf numFmtId="3" fontId="78" fillId="2" borderId="56" xfId="0" applyNumberFormat="1" applyFont="1" applyFill="1" applyBorder="1"/>
    <xf numFmtId="3" fontId="78" fillId="2" borderId="55" xfId="0" applyNumberFormat="1" applyFont="1" applyFill="1" applyBorder="1"/>
    <xf numFmtId="0" fontId="39" fillId="0" borderId="0" xfId="0" applyFont="1"/>
    <xf numFmtId="0" fontId="80" fillId="0" borderId="11" xfId="0" applyFont="1" applyBorder="1"/>
    <xf numFmtId="0" fontId="80" fillId="0" borderId="11" xfId="0" applyFont="1" applyBorder="1" applyAlignment="1">
      <alignment wrapText="1"/>
    </xf>
    <xf numFmtId="0" fontId="80" fillId="0" borderId="12" xfId="0" applyFont="1" applyBorder="1"/>
    <xf numFmtId="0" fontId="7" fillId="2" borderId="8" xfId="0" applyFont="1" applyFill="1" applyBorder="1"/>
    <xf numFmtId="1" fontId="15" fillId="0" borderId="28" xfId="0" applyNumberFormat="1" applyFont="1" applyFill="1" applyBorder="1" applyAlignment="1">
      <alignment horizontal="center" vertical="center" wrapText="1"/>
    </xf>
    <xf numFmtId="3" fontId="13" fillId="0" borderId="34" xfId="0" applyNumberFormat="1" applyFont="1" applyFill="1" applyBorder="1" applyAlignment="1" applyProtection="1">
      <alignment horizontal="right" vertical="center" wrapText="1" indent="1"/>
      <protection locked="0"/>
    </xf>
    <xf numFmtId="3" fontId="13" fillId="0" borderId="39" xfId="0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13" xfId="0" applyFont="1" applyFill="1" applyBorder="1" applyAlignment="1" applyProtection="1">
      <alignment vertical="center" wrapText="1"/>
      <protection locked="0"/>
    </xf>
    <xf numFmtId="164" fontId="25" fillId="0" borderId="13" xfId="0" applyNumberFormat="1" applyFont="1" applyFill="1" applyBorder="1" applyAlignment="1" applyProtection="1">
      <alignment horizontal="right" vertical="center" wrapText="1" indent="1"/>
      <protection locked="0"/>
    </xf>
    <xf numFmtId="3" fontId="25" fillId="0" borderId="39" xfId="0" applyNumberFormat="1" applyFont="1" applyFill="1" applyBorder="1" applyAlignment="1" applyProtection="1">
      <alignment horizontal="right" vertical="center" wrapText="1" indent="1"/>
      <protection locked="0"/>
    </xf>
    <xf numFmtId="0" fontId="81" fillId="0" borderId="13" xfId="0" applyFont="1" applyFill="1" applyBorder="1" applyAlignment="1" applyProtection="1">
      <alignment vertical="center" wrapText="1"/>
      <protection locked="0"/>
    </xf>
    <xf numFmtId="164" fontId="7" fillId="0" borderId="13" xfId="0" applyNumberFormat="1" applyFont="1" applyFill="1" applyBorder="1" applyAlignment="1" applyProtection="1">
      <alignment horizontal="right" vertical="center" wrapText="1" indent="1"/>
      <protection locked="0"/>
    </xf>
    <xf numFmtId="164" fontId="82" fillId="0" borderId="13" xfId="0" applyNumberFormat="1" applyFont="1" applyFill="1" applyBorder="1" applyAlignment="1">
      <alignment horizontal="right" vertical="center" wrapText="1"/>
    </xf>
    <xf numFmtId="0" fontId="18" fillId="0" borderId="13" xfId="0" applyFont="1" applyFill="1" applyBorder="1" applyAlignment="1" applyProtection="1">
      <alignment horizontal="center" vertical="center" wrapText="1"/>
      <protection locked="0"/>
    </xf>
    <xf numFmtId="0" fontId="13" fillId="0" borderId="35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 applyProtection="1">
      <alignment vertical="center" wrapText="1"/>
      <protection locked="0"/>
    </xf>
    <xf numFmtId="164" fontId="25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13" xfId="0" applyNumberFormat="1" applyFont="1" applyFill="1" applyBorder="1" applyAlignment="1" applyProtection="1">
      <alignment horizontal="right" vertical="center" wrapText="1" indent="1"/>
      <protection locked="0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 applyProtection="1">
      <alignment vertical="center" wrapText="1"/>
      <protection locked="0"/>
    </xf>
    <xf numFmtId="164" fontId="25" fillId="0" borderId="58" xfId="0" applyNumberFormat="1" applyFont="1" applyFill="1" applyBorder="1" applyAlignment="1" applyProtection="1">
      <alignment horizontal="right" vertical="center" wrapText="1" indent="1"/>
      <protection locked="0"/>
    </xf>
    <xf numFmtId="3" fontId="13" fillId="0" borderId="39" xfId="0" applyNumberFormat="1" applyFont="1" applyFill="1" applyBorder="1" applyAlignment="1">
      <alignment horizontal="right" vertical="center" wrapText="1"/>
    </xf>
    <xf numFmtId="3" fontId="13" fillId="0" borderId="39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3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 applyProtection="1">
      <alignment vertical="center" wrapText="1"/>
      <protection locked="0"/>
    </xf>
    <xf numFmtId="164" fontId="25" fillId="0" borderId="59" xfId="0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60" xfId="0" applyNumberFormat="1" applyFont="1" applyFill="1" applyBorder="1" applyAlignment="1" applyProtection="1">
      <alignment horizontal="right" vertical="center" wrapText="1" indent="1"/>
      <protection locked="0"/>
    </xf>
    <xf numFmtId="43" fontId="7" fillId="0" borderId="0" xfId="1" applyFont="1" applyBorder="1" applyAlignment="1">
      <alignment horizontal="center"/>
    </xf>
    <xf numFmtId="0" fontId="14" fillId="0" borderId="13" xfId="0" applyFont="1" applyBorder="1"/>
    <xf numFmtId="166" fontId="5" fillId="0" borderId="59" xfId="1" applyNumberFormat="1" applyFont="1" applyBorder="1"/>
    <xf numFmtId="0" fontId="5" fillId="0" borderId="57" xfId="0" applyFont="1" applyBorder="1"/>
    <xf numFmtId="0" fontId="5" fillId="0" borderId="24" xfId="0" applyFont="1" applyBorder="1" applyAlignment="1">
      <alignment wrapText="1"/>
    </xf>
    <xf numFmtId="0" fontId="5" fillId="0" borderId="24" xfId="0" applyFont="1" applyBorder="1"/>
    <xf numFmtId="0" fontId="5" fillId="0" borderId="44" xfId="0" applyFont="1" applyBorder="1"/>
    <xf numFmtId="0" fontId="60" fillId="0" borderId="0" xfId="4" applyFont="1" applyFill="1" applyBorder="1" applyAlignment="1" applyProtection="1">
      <alignment horizontal="center" vertical="center" wrapText="1"/>
    </xf>
    <xf numFmtId="0" fontId="55" fillId="0" borderId="0" xfId="4" applyFont="1" applyFill="1" applyBorder="1"/>
    <xf numFmtId="166" fontId="69" fillId="0" borderId="8" xfId="1" applyNumberFormat="1" applyFont="1" applyFill="1" applyBorder="1"/>
    <xf numFmtId="166" fontId="13" fillId="0" borderId="46" xfId="1" applyNumberFormat="1" applyFont="1" applyFill="1" applyBorder="1" applyAlignment="1" applyProtection="1">
      <alignment vertical="center" wrapText="1"/>
      <protection locked="0"/>
    </xf>
    <xf numFmtId="166" fontId="13" fillId="0" borderId="29" xfId="1" applyNumberFormat="1" applyFont="1" applyFill="1" applyBorder="1" applyAlignment="1" applyProtection="1">
      <alignment vertical="center" wrapText="1"/>
      <protection locked="0"/>
    </xf>
    <xf numFmtId="166" fontId="37" fillId="0" borderId="29" xfId="1" applyNumberFormat="1" applyFont="1" applyFill="1" applyBorder="1" applyAlignment="1" applyProtection="1">
      <alignment vertical="center" wrapText="1"/>
    </xf>
    <xf numFmtId="166" fontId="37" fillId="0" borderId="57" xfId="1" applyNumberFormat="1" applyFont="1" applyFill="1" applyBorder="1" applyAlignment="1" applyProtection="1">
      <alignment vertical="center" wrapText="1"/>
    </xf>
    <xf numFmtId="166" fontId="13" fillId="0" borderId="38" xfId="1" applyNumberFormat="1" applyFont="1" applyFill="1" applyBorder="1" applyAlignment="1" applyProtection="1">
      <alignment vertical="center" wrapText="1"/>
      <protection locked="0"/>
    </xf>
    <xf numFmtId="166" fontId="13" fillId="0" borderId="24" xfId="1" applyNumberFormat="1" applyFont="1" applyFill="1" applyBorder="1" applyAlignment="1" applyProtection="1">
      <alignment vertical="center" wrapText="1"/>
      <protection locked="0"/>
    </xf>
    <xf numFmtId="166" fontId="37" fillId="0" borderId="24" xfId="1" applyNumberFormat="1" applyFont="1" applyFill="1" applyBorder="1" applyAlignment="1" applyProtection="1">
      <alignment vertical="center" wrapText="1"/>
      <protection locked="0"/>
    </xf>
    <xf numFmtId="166" fontId="13" fillId="0" borderId="44" xfId="1" applyNumberFormat="1" applyFont="1" applyFill="1" applyBorder="1" applyAlignment="1" applyProtection="1">
      <alignment vertical="center" wrapText="1"/>
      <protection locked="0"/>
    </xf>
    <xf numFmtId="166" fontId="15" fillId="0" borderId="57" xfId="1" applyNumberFormat="1" applyFont="1" applyFill="1" applyBorder="1" applyAlignment="1" applyProtection="1">
      <alignment vertical="center" wrapText="1"/>
      <protection locked="0"/>
    </xf>
    <xf numFmtId="166" fontId="15" fillId="0" borderId="24" xfId="1" applyNumberFormat="1" applyFont="1" applyFill="1" applyBorder="1" applyAlignment="1" applyProtection="1">
      <alignment vertical="center" wrapText="1"/>
      <protection locked="0"/>
    </xf>
    <xf numFmtId="166" fontId="13" fillId="0" borderId="8" xfId="1" applyNumberFormat="1" applyFont="1" applyFill="1" applyBorder="1" applyAlignment="1" applyProtection="1">
      <alignment vertical="center" wrapText="1"/>
      <protection locked="0"/>
    </xf>
    <xf numFmtId="0" fontId="13" fillId="0" borderId="18" xfId="4" applyFont="1" applyFill="1" applyBorder="1" applyAlignment="1" applyProtection="1">
      <alignment horizontal="left" vertical="center" wrapText="1" indent="2"/>
    </xf>
    <xf numFmtId="166" fontId="7" fillId="0" borderId="8" xfId="1" applyNumberFormat="1" applyFont="1" applyFill="1" applyBorder="1" applyAlignment="1" applyProtection="1">
      <alignment vertical="center" wrapText="1"/>
    </xf>
    <xf numFmtId="0" fontId="7" fillId="0" borderId="9" xfId="4" applyFont="1" applyFill="1" applyBorder="1" applyAlignment="1" applyProtection="1">
      <alignment horizontal="left" vertical="center" wrapText="1" indent="1"/>
    </xf>
    <xf numFmtId="0" fontId="80" fillId="0" borderId="22" xfId="0" applyFont="1" applyBorder="1" applyAlignment="1">
      <alignment wrapText="1"/>
    </xf>
    <xf numFmtId="166" fontId="15" fillId="0" borderId="6" xfId="1" applyNumberFormat="1" applyFont="1" applyFill="1" applyBorder="1" applyAlignment="1" applyProtection="1">
      <alignment vertical="center" wrapText="1"/>
    </xf>
    <xf numFmtId="0" fontId="33" fillId="0" borderId="19" xfId="4" applyFont="1" applyFill="1" applyBorder="1" applyAlignment="1" applyProtection="1">
      <alignment wrapText="1"/>
      <protection locked="0"/>
    </xf>
    <xf numFmtId="164" fontId="5" fillId="2" borderId="13" xfId="5" applyNumberFormat="1" applyFont="1" applyFill="1" applyBorder="1" applyAlignment="1" applyProtection="1">
      <alignment vertical="center" wrapText="1"/>
      <protection locked="0"/>
    </xf>
    <xf numFmtId="164" fontId="5" fillId="2" borderId="13" xfId="5" applyNumberFormat="1" applyFont="1" applyFill="1" applyBorder="1" applyAlignment="1">
      <alignment vertical="center" wrapText="1"/>
    </xf>
    <xf numFmtId="164" fontId="5" fillId="2" borderId="32" xfId="5" applyNumberFormat="1" applyFont="1" applyFill="1" applyBorder="1" applyAlignment="1">
      <alignment vertical="center" wrapText="1"/>
    </xf>
    <xf numFmtId="3" fontId="72" fillId="0" borderId="13" xfId="0" applyNumberFormat="1" applyFont="1" applyFill="1" applyBorder="1"/>
    <xf numFmtId="166" fontId="0" fillId="0" borderId="13" xfId="1" applyNumberFormat="1" applyFont="1" applyBorder="1"/>
    <xf numFmtId="0" fontId="48" fillId="0" borderId="2" xfId="0" applyFont="1" applyBorder="1" applyAlignment="1">
      <alignment horizontal="left" vertical="center" wrapText="1"/>
    </xf>
    <xf numFmtId="166" fontId="13" fillId="0" borderId="13" xfId="1" applyNumberFormat="1" applyFont="1" applyBorder="1" applyAlignment="1">
      <alignment horizontal="center"/>
    </xf>
    <xf numFmtId="166" fontId="13" fillId="2" borderId="13" xfId="1" applyNumberFormat="1" applyFont="1" applyFill="1" applyBorder="1" applyAlignment="1">
      <alignment horizontal="center"/>
    </xf>
    <xf numFmtId="166" fontId="13" fillId="2" borderId="29" xfId="1" applyNumberFormat="1" applyFont="1" applyFill="1" applyBorder="1" applyAlignment="1">
      <alignment horizontal="center"/>
    </xf>
    <xf numFmtId="166" fontId="13" fillId="0" borderId="21" xfId="1" applyNumberFormat="1" applyFont="1" applyBorder="1" applyAlignment="1">
      <alignment horizontal="center"/>
    </xf>
    <xf numFmtId="166" fontId="13" fillId="2" borderId="21" xfId="1" applyNumberFormat="1" applyFont="1" applyFill="1" applyBorder="1" applyAlignment="1">
      <alignment horizontal="center"/>
    </xf>
    <xf numFmtId="166" fontId="13" fillId="2" borderId="50" xfId="1" applyNumberFormat="1" applyFont="1" applyFill="1" applyBorder="1" applyAlignment="1">
      <alignment horizontal="center"/>
    </xf>
    <xf numFmtId="0" fontId="13" fillId="0" borderId="44" xfId="0" applyFont="1" applyBorder="1"/>
    <xf numFmtId="0" fontId="14" fillId="0" borderId="0" xfId="0" applyFont="1"/>
    <xf numFmtId="0" fontId="14" fillId="2" borderId="0" xfId="0" applyFont="1" applyFill="1"/>
    <xf numFmtId="0" fontId="20" fillId="2" borderId="0" xfId="0" applyFont="1" applyFill="1" applyAlignment="1">
      <alignment horizontal="right"/>
    </xf>
    <xf numFmtId="49" fontId="14" fillId="0" borderId="24" xfId="0" applyNumberFormat="1" applyFont="1" applyBorder="1" applyAlignment="1">
      <alignment horizontal="center"/>
    </xf>
    <xf numFmtId="0" fontId="14" fillId="0" borderId="0" xfId="0" applyFont="1" applyBorder="1"/>
    <xf numFmtId="49" fontId="14" fillId="2" borderId="57" xfId="0" applyNumberFormat="1" applyFont="1" applyFill="1" applyBorder="1" applyAlignment="1">
      <alignment horizontal="center"/>
    </xf>
    <xf numFmtId="49" fontId="14" fillId="2" borderId="24" xfId="0" applyNumberFormat="1" applyFont="1" applyFill="1" applyBorder="1" applyAlignment="1">
      <alignment horizontal="center"/>
    </xf>
    <xf numFmtId="49" fontId="14" fillId="0" borderId="0" xfId="5" applyNumberFormat="1" applyFont="1" applyFill="1" applyAlignment="1">
      <alignment horizontal="center" vertical="center" wrapText="1"/>
    </xf>
    <xf numFmtId="164" fontId="14" fillId="0" borderId="0" xfId="5" applyNumberFormat="1" applyFont="1" applyFill="1" applyAlignment="1">
      <alignment vertical="center" wrapText="1"/>
    </xf>
    <xf numFmtId="164" fontId="14" fillId="0" borderId="0" xfId="5" applyNumberFormat="1" applyFont="1" applyFill="1" applyAlignment="1">
      <alignment horizontal="center" vertical="center" wrapText="1"/>
    </xf>
    <xf numFmtId="164" fontId="48" fillId="0" borderId="0" xfId="5" applyNumberFormat="1" applyFont="1" applyFill="1" applyAlignment="1">
      <alignment horizontal="center"/>
    </xf>
    <xf numFmtId="0" fontId="14" fillId="0" borderId="0" xfId="5" applyFont="1"/>
    <xf numFmtId="0" fontId="63" fillId="0" borderId="0" xfId="5" applyFont="1"/>
    <xf numFmtId="0" fontId="14" fillId="2" borderId="0" xfId="5" applyFont="1" applyFill="1"/>
    <xf numFmtId="0" fontId="17" fillId="0" borderId="13" xfId="4" applyFont="1" applyFill="1" applyBorder="1" applyAlignment="1" applyProtection="1">
      <alignment horizontal="left" vertical="center" wrapText="1" indent="1"/>
    </xf>
    <xf numFmtId="166" fontId="17" fillId="0" borderId="29" xfId="1" applyNumberFormat="1" applyFont="1" applyFill="1" applyBorder="1" applyAlignment="1" applyProtection="1">
      <alignment vertical="center" wrapText="1"/>
      <protection locked="0"/>
    </xf>
    <xf numFmtId="166" fontId="17" fillId="0" borderId="24" xfId="1" applyNumberFormat="1" applyFont="1" applyFill="1" applyBorder="1" applyAlignment="1" applyProtection="1">
      <alignment vertical="center" wrapText="1"/>
      <protection locked="0"/>
    </xf>
    <xf numFmtId="166" fontId="14" fillId="0" borderId="36" xfId="1" applyNumberFormat="1" applyFont="1" applyFill="1" applyBorder="1"/>
    <xf numFmtId="166" fontId="14" fillId="0" borderId="37" xfId="1" applyNumberFormat="1" applyFont="1" applyFill="1" applyBorder="1"/>
    <xf numFmtId="166" fontId="14" fillId="0" borderId="37" xfId="1" applyNumberFormat="1" applyFont="1" applyBorder="1"/>
    <xf numFmtId="166" fontId="14" fillId="0" borderId="59" xfId="1" applyNumberFormat="1" applyFont="1" applyBorder="1"/>
    <xf numFmtId="0" fontId="7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14" fillId="0" borderId="23" xfId="0" applyFont="1" applyBorder="1"/>
    <xf numFmtId="166" fontId="7" fillId="0" borderId="13" xfId="0" applyNumberFormat="1" applyFont="1" applyBorder="1"/>
    <xf numFmtId="0" fontId="14" fillId="0" borderId="23" xfId="0" applyFont="1" applyBorder="1" applyAlignment="1">
      <alignment wrapText="1"/>
    </xf>
    <xf numFmtId="0" fontId="48" fillId="0" borderId="48" xfId="0" applyFont="1" applyBorder="1"/>
    <xf numFmtId="166" fontId="48" fillId="0" borderId="32" xfId="0" applyNumberFormat="1" applyFont="1" applyBorder="1"/>
    <xf numFmtId="0" fontId="48" fillId="0" borderId="0" xfId="0" applyFont="1"/>
    <xf numFmtId="3" fontId="14" fillId="2" borderId="13" xfId="0" applyNumberFormat="1" applyFont="1" applyFill="1" applyBorder="1"/>
    <xf numFmtId="166" fontId="7" fillId="0" borderId="13" xfId="1" applyNumberFormat="1" applyFont="1" applyBorder="1" applyAlignment="1">
      <alignment horizontal="center"/>
    </xf>
    <xf numFmtId="166" fontId="14" fillId="0" borderId="13" xfId="1" applyNumberFormat="1" applyFont="1" applyBorder="1" applyAlignment="1">
      <alignment horizontal="center"/>
    </xf>
    <xf numFmtId="166" fontId="14" fillId="2" borderId="13" xfId="1" applyNumberFormat="1" applyFont="1" applyFill="1" applyBorder="1" applyAlignment="1"/>
    <xf numFmtId="0" fontId="11" fillId="2" borderId="7" xfId="0" applyFont="1" applyFill="1" applyBorder="1" applyAlignment="1"/>
    <xf numFmtId="166" fontId="11" fillId="0" borderId="0" xfId="1" applyNumberFormat="1" applyFont="1" applyFill="1"/>
    <xf numFmtId="166" fontId="11" fillId="0" borderId="0" xfId="1" applyNumberFormat="1" applyFont="1" applyAlignment="1">
      <alignment horizontal="right"/>
    </xf>
    <xf numFmtId="166" fontId="14" fillId="0" borderId="7" xfId="1" applyNumberFormat="1" applyFont="1" applyBorder="1"/>
    <xf numFmtId="0" fontId="13" fillId="0" borderId="8" xfId="0" applyFont="1" applyBorder="1"/>
    <xf numFmtId="166" fontId="14" fillId="0" borderId="8" xfId="1" applyNumberFormat="1" applyFont="1" applyBorder="1"/>
    <xf numFmtId="0" fontId="5" fillId="0" borderId="23" xfId="0" applyFont="1" applyBorder="1" applyAlignment="1">
      <alignment wrapText="1"/>
    </xf>
    <xf numFmtId="0" fontId="5" fillId="0" borderId="63" xfId="0" applyFont="1" applyBorder="1"/>
    <xf numFmtId="166" fontId="5" fillId="0" borderId="18" xfId="1" applyNumberFormat="1" applyFont="1" applyBorder="1"/>
    <xf numFmtId="3" fontId="6" fillId="0" borderId="54" xfId="0" applyNumberFormat="1" applyFont="1" applyBorder="1"/>
    <xf numFmtId="166" fontId="6" fillId="0" borderId="55" xfId="1" applyNumberFormat="1" applyFont="1" applyBorder="1"/>
    <xf numFmtId="166" fontId="6" fillId="0" borderId="43" xfId="1" applyNumberFormat="1" applyFont="1" applyBorder="1"/>
    <xf numFmtId="3" fontId="5" fillId="0" borderId="48" xfId="0" applyNumberFormat="1" applyFont="1" applyBorder="1"/>
    <xf numFmtId="166" fontId="5" fillId="0" borderId="40" xfId="1" applyNumberFormat="1" applyFont="1" applyBorder="1"/>
    <xf numFmtId="0" fontId="6" fillId="0" borderId="54" xfId="0" applyFont="1" applyBorder="1"/>
    <xf numFmtId="166" fontId="5" fillId="0" borderId="46" xfId="1" applyNumberFormat="1" applyFont="1" applyBorder="1"/>
    <xf numFmtId="3" fontId="41" fillId="0" borderId="23" xfId="0" applyNumberFormat="1" applyFont="1" applyBorder="1" applyAlignment="1">
      <alignment wrapText="1"/>
    </xf>
    <xf numFmtId="0" fontId="5" fillId="0" borderId="22" xfId="0" applyFont="1" applyBorder="1" applyAlignment="1">
      <alignment wrapText="1"/>
    </xf>
    <xf numFmtId="166" fontId="6" fillId="0" borderId="5" xfId="1" applyNumberFormat="1" applyFont="1" applyBorder="1"/>
    <xf numFmtId="3" fontId="6" fillId="0" borderId="2" xfId="0" applyNumberFormat="1" applyFont="1" applyBorder="1"/>
    <xf numFmtId="166" fontId="14" fillId="2" borderId="24" xfId="2" applyNumberFormat="1" applyFont="1" applyFill="1" applyBorder="1"/>
    <xf numFmtId="166" fontId="7" fillId="2" borderId="8" xfId="2" applyNumberFormat="1" applyFont="1" applyFill="1" applyBorder="1" applyAlignment="1">
      <alignment horizontal="right"/>
    </xf>
    <xf numFmtId="166" fontId="7" fillId="2" borderId="6" xfId="2" applyNumberFormat="1" applyFont="1" applyFill="1" applyBorder="1"/>
    <xf numFmtId="166" fontId="14" fillId="0" borderId="24" xfId="2" applyNumberFormat="1" applyFont="1" applyFill="1" applyBorder="1"/>
    <xf numFmtId="166" fontId="5" fillId="0" borderId="34" xfId="1" applyNumberFormat="1" applyFont="1" applyFill="1" applyBorder="1"/>
    <xf numFmtId="166" fontId="5" fillId="0" borderId="39" xfId="1" applyNumberFormat="1" applyFont="1" applyFill="1" applyBorder="1"/>
    <xf numFmtId="166" fontId="92" fillId="0" borderId="41" xfId="1" applyNumberFormat="1" applyFont="1" applyFill="1" applyBorder="1" applyAlignment="1">
      <alignment horizontal="center" vertical="center"/>
    </xf>
    <xf numFmtId="166" fontId="92" fillId="0" borderId="8" xfId="1" applyNumberFormat="1" applyFont="1" applyFill="1" applyBorder="1" applyAlignment="1">
      <alignment horizontal="center" vertical="center"/>
    </xf>
    <xf numFmtId="166" fontId="25" fillId="0" borderId="41" xfId="1" applyNumberFormat="1" applyFont="1" applyFill="1" applyBorder="1" applyAlignment="1">
      <alignment horizontal="center" vertical="center"/>
    </xf>
    <xf numFmtId="166" fontId="25" fillId="0" borderId="8" xfId="1" applyNumberFormat="1" applyFont="1" applyFill="1" applyBorder="1" applyAlignment="1">
      <alignment horizontal="center" vertical="center"/>
    </xf>
    <xf numFmtId="166" fontId="90" fillId="0" borderId="6" xfId="1" applyNumberFormat="1" applyFont="1" applyFill="1" applyBorder="1"/>
    <xf numFmtId="3" fontId="38" fillId="0" borderId="0" xfId="0" applyNumberFormat="1" applyFont="1"/>
    <xf numFmtId="3" fontId="76" fillId="0" borderId="11" xfId="0" applyNumberFormat="1" applyFont="1" applyFill="1" applyBorder="1" applyAlignment="1">
      <alignment wrapText="1"/>
    </xf>
    <xf numFmtId="3" fontId="77" fillId="0" borderId="12" xfId="0" applyNumberFormat="1" applyFont="1" applyFill="1" applyBorder="1" applyAlignment="1">
      <alignment wrapText="1"/>
    </xf>
    <xf numFmtId="3" fontId="76" fillId="2" borderId="58" xfId="0" applyNumberFormat="1" applyFont="1" applyFill="1" applyBorder="1"/>
    <xf numFmtId="3" fontId="76" fillId="2" borderId="36" xfId="0" applyNumberFormat="1" applyFont="1" applyFill="1" applyBorder="1"/>
    <xf numFmtId="3" fontId="77" fillId="2" borderId="37" xfId="0" applyNumberFormat="1" applyFont="1" applyFill="1" applyBorder="1"/>
    <xf numFmtId="3" fontId="77" fillId="0" borderId="13" xfId="0" applyNumberFormat="1" applyFont="1" applyFill="1" applyBorder="1"/>
    <xf numFmtId="3" fontId="28" fillId="0" borderId="18" xfId="0" applyNumberFormat="1" applyFont="1" applyFill="1" applyBorder="1"/>
    <xf numFmtId="3" fontId="28" fillId="0" borderId="16" xfId="0" applyNumberFormat="1" applyFont="1" applyFill="1" applyBorder="1"/>
    <xf numFmtId="3" fontId="27" fillId="0" borderId="9" xfId="0" applyNumberFormat="1" applyFont="1" applyFill="1" applyBorder="1" applyAlignment="1">
      <alignment wrapText="1"/>
    </xf>
    <xf numFmtId="3" fontId="76" fillId="0" borderId="50" xfId="0" applyNumberFormat="1" applyFont="1" applyFill="1" applyBorder="1" applyAlignment="1">
      <alignment wrapText="1"/>
    </xf>
    <xf numFmtId="3" fontId="78" fillId="2" borderId="13" xfId="0" applyNumberFormat="1" applyFont="1" applyFill="1" applyBorder="1"/>
    <xf numFmtId="3" fontId="28" fillId="0" borderId="19" xfId="0" applyNumberFormat="1" applyFont="1" applyFill="1" applyBorder="1"/>
    <xf numFmtId="3" fontId="28" fillId="0" borderId="34" xfId="0" applyNumberFormat="1" applyFont="1" applyFill="1" applyBorder="1"/>
    <xf numFmtId="3" fontId="28" fillId="0" borderId="39" xfId="0" applyNumberFormat="1" applyFont="1" applyFill="1" applyBorder="1"/>
    <xf numFmtId="3" fontId="28" fillId="2" borderId="15" xfId="0" applyNumberFormat="1" applyFont="1" applyFill="1" applyBorder="1"/>
    <xf numFmtId="3" fontId="28" fillId="2" borderId="27" xfId="0" applyNumberFormat="1" applyFont="1" applyFill="1" applyBorder="1"/>
    <xf numFmtId="3" fontId="28" fillId="2" borderId="33" xfId="0" applyNumberFormat="1" applyFont="1" applyFill="1" applyBorder="1"/>
    <xf numFmtId="3" fontId="28" fillId="2" borderId="68" xfId="0" applyNumberFormat="1" applyFont="1" applyFill="1" applyBorder="1"/>
    <xf numFmtId="3" fontId="72" fillId="2" borderId="6" xfId="0" applyNumberFormat="1" applyFont="1" applyFill="1" applyBorder="1"/>
    <xf numFmtId="3" fontId="76" fillId="2" borderId="3" xfId="0" applyNumberFormat="1" applyFont="1" applyFill="1" applyBorder="1" applyAlignment="1">
      <alignment wrapText="1"/>
    </xf>
    <xf numFmtId="3" fontId="78" fillId="2" borderId="22" xfId="0" applyNumberFormat="1" applyFont="1" applyFill="1" applyBorder="1"/>
    <xf numFmtId="3" fontId="78" fillId="2" borderId="34" xfId="0" applyNumberFormat="1" applyFont="1" applyFill="1" applyBorder="1"/>
    <xf numFmtId="3" fontId="79" fillId="2" borderId="23" xfId="0" applyNumberFormat="1" applyFont="1" applyFill="1" applyBorder="1"/>
    <xf numFmtId="3" fontId="79" fillId="2" borderId="39" xfId="0" applyNumberFormat="1" applyFont="1" applyFill="1" applyBorder="1"/>
    <xf numFmtId="3" fontId="77" fillId="2" borderId="39" xfId="0" applyNumberFormat="1" applyFont="1" applyFill="1" applyBorder="1"/>
    <xf numFmtId="3" fontId="77" fillId="2" borderId="39" xfId="0" applyNumberFormat="1" applyFont="1" applyFill="1" applyBorder="1" applyAlignment="1">
      <alignment horizontal="right"/>
    </xf>
    <xf numFmtId="3" fontId="77" fillId="2" borderId="40" xfId="0" applyNumberFormat="1" applyFont="1" applyFill="1" applyBorder="1"/>
    <xf numFmtId="3" fontId="79" fillId="2" borderId="36" xfId="0" applyNumberFormat="1" applyFont="1" applyFill="1" applyBorder="1"/>
    <xf numFmtId="3" fontId="77" fillId="2" borderId="26" xfId="0" applyNumberFormat="1" applyFont="1" applyFill="1" applyBorder="1" applyAlignment="1">
      <alignment wrapText="1"/>
    </xf>
    <xf numFmtId="3" fontId="76" fillId="2" borderId="31" xfId="0" applyNumberFormat="1" applyFont="1" applyFill="1" applyBorder="1" applyAlignment="1">
      <alignment wrapText="1"/>
    </xf>
    <xf numFmtId="0" fontId="80" fillId="0" borderId="35" xfId="0" applyFont="1" applyBorder="1" applyAlignment="1">
      <alignment wrapText="1"/>
    </xf>
    <xf numFmtId="166" fontId="14" fillId="2" borderId="21" xfId="1" applyNumberFormat="1" applyFont="1" applyFill="1" applyBorder="1"/>
    <xf numFmtId="0" fontId="15" fillId="2" borderId="8" xfId="0" applyFont="1" applyFill="1" applyBorder="1"/>
    <xf numFmtId="166" fontId="14" fillId="2" borderId="18" xfId="1" applyNumberFormat="1" applyFont="1" applyFill="1" applyBorder="1"/>
    <xf numFmtId="166" fontId="4" fillId="2" borderId="9" xfId="0" applyNumberFormat="1" applyFont="1" applyFill="1" applyBorder="1"/>
    <xf numFmtId="166" fontId="14" fillId="2" borderId="46" xfId="1" applyNumberFormat="1" applyFont="1" applyFill="1" applyBorder="1"/>
    <xf numFmtId="166" fontId="14" fillId="2" borderId="50" xfId="1" applyNumberFormat="1" applyFont="1" applyFill="1" applyBorder="1"/>
    <xf numFmtId="166" fontId="4" fillId="0" borderId="57" xfId="1" applyNumberFormat="1" applyFont="1" applyBorder="1" applyAlignment="1">
      <alignment horizontal="center"/>
    </xf>
    <xf numFmtId="0" fontId="13" fillId="0" borderId="18" xfId="0" applyFont="1" applyBorder="1"/>
    <xf numFmtId="0" fontId="13" fillId="0" borderId="21" xfId="0" applyFont="1" applyBorder="1"/>
    <xf numFmtId="166" fontId="4" fillId="0" borderId="21" xfId="1" applyNumberFormat="1" applyFont="1" applyBorder="1" applyAlignment="1">
      <alignment horizontal="center"/>
    </xf>
    <xf numFmtId="166" fontId="0" fillId="0" borderId="21" xfId="1" applyNumberFormat="1" applyFont="1" applyBorder="1"/>
    <xf numFmtId="0" fontId="16" fillId="0" borderId="14" xfId="0" applyFont="1" applyBorder="1"/>
    <xf numFmtId="166" fontId="48" fillId="2" borderId="15" xfId="1" applyNumberFormat="1" applyFont="1" applyFill="1" applyBorder="1"/>
    <xf numFmtId="166" fontId="0" fillId="0" borderId="29" xfId="1" applyNumberFormat="1" applyFont="1" applyBorder="1"/>
    <xf numFmtId="166" fontId="0" fillId="0" borderId="50" xfId="1" applyNumberFormat="1" applyFont="1" applyBorder="1"/>
    <xf numFmtId="166" fontId="48" fillId="2" borderId="27" xfId="1" applyNumberFormat="1" applyFont="1" applyFill="1" applyBorder="1"/>
    <xf numFmtId="166" fontId="4" fillId="0" borderId="24" xfId="0" applyNumberFormat="1" applyFont="1" applyBorder="1"/>
    <xf numFmtId="166" fontId="4" fillId="0" borderId="25" xfId="0" applyNumberFormat="1" applyFont="1" applyBorder="1"/>
    <xf numFmtId="166" fontId="4" fillId="0" borderId="8" xfId="0" applyNumberFormat="1" applyFont="1" applyBorder="1"/>
    <xf numFmtId="0" fontId="0" fillId="0" borderId="8" xfId="0" applyBorder="1"/>
    <xf numFmtId="166" fontId="13" fillId="0" borderId="18" xfId="1" applyNumberFormat="1" applyFont="1" applyFill="1" applyBorder="1"/>
    <xf numFmtId="166" fontId="23" fillId="0" borderId="18" xfId="1" applyNumberFormat="1" applyFont="1" applyBorder="1"/>
    <xf numFmtId="166" fontId="11" fillId="0" borderId="18" xfId="1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6" xfId="0" applyBorder="1"/>
    <xf numFmtId="166" fontId="0" fillId="0" borderId="38" xfId="0" applyNumberFormat="1" applyBorder="1"/>
    <xf numFmtId="0" fontId="15" fillId="0" borderId="61" xfId="0" applyFont="1" applyBorder="1" applyAlignment="1">
      <alignment horizontal="center" vertical="center" wrapText="1"/>
    </xf>
    <xf numFmtId="0" fontId="53" fillId="0" borderId="63" xfId="0" applyFont="1" applyBorder="1" applyAlignment="1">
      <alignment wrapText="1"/>
    </xf>
    <xf numFmtId="0" fontId="53" fillId="0" borderId="35" xfId="0" applyFont="1" applyBorder="1" applyAlignment="1">
      <alignment wrapText="1"/>
    </xf>
    <xf numFmtId="166" fontId="14" fillId="0" borderId="21" xfId="1" applyNumberFormat="1" applyFont="1" applyFill="1" applyBorder="1"/>
    <xf numFmtId="166" fontId="2" fillId="0" borderId="21" xfId="1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50" xfId="0" applyBorder="1"/>
    <xf numFmtId="0" fontId="7" fillId="0" borderId="14" xfId="0" applyFont="1" applyBorder="1"/>
    <xf numFmtId="166" fontId="7" fillId="0" borderId="15" xfId="1" applyNumberFormat="1" applyFont="1" applyFill="1" applyBorder="1"/>
    <xf numFmtId="166" fontId="7" fillId="2" borderId="15" xfId="1" applyNumberFormat="1" applyFont="1" applyFill="1" applyBorder="1"/>
    <xf numFmtId="166" fontId="7" fillId="2" borderId="15" xfId="1" applyNumberFormat="1" applyFont="1" applyFill="1" applyBorder="1" applyAlignment="1">
      <alignment horizontal="center"/>
    </xf>
    <xf numFmtId="166" fontId="7" fillId="2" borderId="15" xfId="1" applyNumberFormat="1" applyFont="1" applyFill="1" applyBorder="1" applyAlignment="1"/>
    <xf numFmtId="166" fontId="7" fillId="2" borderId="27" xfId="1" applyNumberFormat="1" applyFont="1" applyFill="1" applyBorder="1" applyAlignment="1"/>
    <xf numFmtId="0" fontId="89" fillId="0" borderId="26" xfId="4" applyFont="1" applyFill="1" applyBorder="1" applyAlignment="1" applyProtection="1">
      <alignment horizontal="center" vertical="center" wrapText="1"/>
    </xf>
    <xf numFmtId="3" fontId="0" fillId="0" borderId="0" xfId="0" applyNumberFormat="1" applyAlignment="1">
      <alignment horizontal="left" vertical="center" wrapText="1"/>
    </xf>
    <xf numFmtId="3" fontId="77" fillId="0" borderId="57" xfId="0" applyNumberFormat="1" applyFont="1" applyFill="1" applyBorder="1" applyAlignment="1">
      <alignment wrapText="1"/>
    </xf>
    <xf numFmtId="3" fontId="77" fillId="0" borderId="24" xfId="0" applyNumberFormat="1" applyFont="1" applyFill="1" applyBorder="1" applyAlignment="1">
      <alignment wrapText="1"/>
    </xf>
    <xf numFmtId="3" fontId="76" fillId="0" borderId="24" xfId="0" applyNumberFormat="1" applyFont="1" applyFill="1" applyBorder="1" applyAlignment="1">
      <alignment wrapText="1"/>
    </xf>
    <xf numFmtId="0" fontId="68" fillId="0" borderId="44" xfId="0" applyFont="1" applyBorder="1" applyAlignment="1">
      <alignment wrapText="1"/>
    </xf>
    <xf numFmtId="166" fontId="0" fillId="0" borderId="0" xfId="1" applyNumberFormat="1" applyFont="1"/>
    <xf numFmtId="0" fontId="18" fillId="0" borderId="0" xfId="0" applyFont="1" applyAlignment="1">
      <alignment horizontal="right"/>
    </xf>
    <xf numFmtId="164" fontId="7" fillId="3" borderId="15" xfId="5" applyNumberFormat="1" applyFont="1" applyFill="1" applyBorder="1" applyAlignment="1">
      <alignment horizontal="center" vertical="center" wrapText="1"/>
    </xf>
    <xf numFmtId="164" fontId="7" fillId="3" borderId="16" xfId="5" applyNumberFormat="1" applyFont="1" applyFill="1" applyBorder="1" applyAlignment="1">
      <alignment horizontal="center" vertical="center" wrapText="1"/>
    </xf>
    <xf numFmtId="164" fontId="5" fillId="2" borderId="55" xfId="5" applyNumberFormat="1" applyFont="1" applyFill="1" applyBorder="1" applyAlignment="1">
      <alignment vertical="center" wrapText="1"/>
    </xf>
    <xf numFmtId="0" fontId="32" fillId="0" borderId="28" xfId="4" applyFont="1" applyFill="1" applyBorder="1" applyAlignment="1" applyProtection="1">
      <alignment horizontal="center" vertical="center"/>
    </xf>
    <xf numFmtId="0" fontId="61" fillId="0" borderId="2" xfId="4" applyFont="1" applyFill="1" applyBorder="1" applyAlignment="1">
      <alignment horizontal="center"/>
    </xf>
    <xf numFmtId="0" fontId="61" fillId="0" borderId="4" xfId="4" applyFont="1" applyFill="1" applyBorder="1" applyAlignment="1">
      <alignment horizontal="center"/>
    </xf>
    <xf numFmtId="0" fontId="61" fillId="0" borderId="70" xfId="4" applyFont="1" applyFill="1" applyBorder="1" applyAlignment="1">
      <alignment horizontal="center"/>
    </xf>
    <xf numFmtId="0" fontId="32" fillId="0" borderId="30" xfId="4" applyFont="1" applyFill="1" applyBorder="1" applyProtection="1"/>
    <xf numFmtId="0" fontId="32" fillId="0" borderId="29" xfId="4" applyFont="1" applyFill="1" applyBorder="1" applyProtection="1"/>
    <xf numFmtId="0" fontId="32" fillId="0" borderId="29" xfId="4" applyFont="1" applyFill="1" applyBorder="1" applyAlignment="1" applyProtection="1">
      <alignment wrapText="1"/>
    </xf>
    <xf numFmtId="0" fontId="32" fillId="0" borderId="50" xfId="4" applyFont="1" applyFill="1" applyBorder="1" applyProtection="1"/>
    <xf numFmtId="166" fontId="32" fillId="0" borderId="22" xfId="1" applyNumberFormat="1" applyFont="1" applyFill="1" applyBorder="1" applyProtection="1">
      <protection locked="0"/>
    </xf>
    <xf numFmtId="166" fontId="32" fillId="0" borderId="23" xfId="1" applyNumberFormat="1" applyFont="1" applyFill="1" applyBorder="1" applyProtection="1">
      <protection locked="0"/>
    </xf>
    <xf numFmtId="166" fontId="32" fillId="0" borderId="48" xfId="1" applyNumberFormat="1" applyFont="1" applyFill="1" applyBorder="1" applyProtection="1">
      <protection locked="0"/>
    </xf>
    <xf numFmtId="166" fontId="7" fillId="0" borderId="33" xfId="1" applyNumberFormat="1" applyFont="1" applyBorder="1"/>
    <xf numFmtId="166" fontId="15" fillId="0" borderId="41" xfId="1" applyNumberFormat="1" applyFont="1" applyFill="1" applyBorder="1" applyAlignment="1" applyProtection="1">
      <alignment vertical="center" wrapText="1"/>
    </xf>
    <xf numFmtId="0" fontId="14" fillId="0" borderId="41" xfId="4" applyFont="1" applyFill="1" applyBorder="1" applyAlignment="1" applyProtection="1">
      <alignment horizontal="left" vertical="center" wrapText="1" indent="1"/>
    </xf>
    <xf numFmtId="3" fontId="79" fillId="0" borderId="23" xfId="0" applyNumberFormat="1" applyFont="1" applyFill="1" applyBorder="1"/>
    <xf numFmtId="3" fontId="79" fillId="0" borderId="48" xfId="0" applyNumberFormat="1" applyFont="1" applyFill="1" applyBorder="1"/>
    <xf numFmtId="3" fontId="79" fillId="0" borderId="13" xfId="0" applyNumberFormat="1" applyFont="1" applyFill="1" applyBorder="1" applyAlignment="1">
      <alignment horizontal="right"/>
    </xf>
    <xf numFmtId="3" fontId="79" fillId="0" borderId="32" xfId="0" applyNumberFormat="1" applyFont="1" applyFill="1" applyBorder="1"/>
    <xf numFmtId="0" fontId="14" fillId="3" borderId="0" xfId="5" applyFont="1" applyFill="1"/>
    <xf numFmtId="49" fontId="7" fillId="3" borderId="14" xfId="5" applyNumberFormat="1" applyFont="1" applyFill="1" applyBorder="1" applyAlignment="1">
      <alignment horizontal="center" vertical="center" wrapText="1"/>
    </xf>
    <xf numFmtId="3" fontId="72" fillId="0" borderId="21" xfId="0" applyNumberFormat="1" applyFont="1" applyFill="1" applyBorder="1"/>
    <xf numFmtId="3" fontId="28" fillId="2" borderId="22" xfId="0" applyNumberFormat="1" applyFont="1" applyFill="1" applyBorder="1"/>
    <xf numFmtId="0" fontId="7" fillId="0" borderId="3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166" fontId="7" fillId="2" borderId="8" xfId="0" applyNumberFormat="1" applyFont="1" applyFill="1" applyBorder="1"/>
    <xf numFmtId="166" fontId="15" fillId="0" borderId="41" xfId="1" applyNumberFormat="1" applyFont="1" applyBorder="1" applyAlignment="1">
      <alignment horizontal="right"/>
    </xf>
    <xf numFmtId="166" fontId="15" fillId="0" borderId="8" xfId="1" applyNumberFormat="1" applyFont="1" applyBorder="1" applyAlignment="1">
      <alignment horizontal="right"/>
    </xf>
    <xf numFmtId="164" fontId="15" fillId="0" borderId="28" xfId="4" applyNumberFormat="1" applyFont="1" applyFill="1" applyBorder="1" applyAlignment="1" applyProtection="1">
      <alignment horizontal="center" vertical="center" wrapText="1"/>
      <protection locked="0"/>
    </xf>
    <xf numFmtId="166" fontId="15" fillId="0" borderId="8" xfId="1" applyNumberFormat="1" applyFont="1" applyFill="1" applyBorder="1" applyAlignment="1" applyProtection="1">
      <alignment horizontal="left" indent="1"/>
    </xf>
    <xf numFmtId="0" fontId="16" fillId="0" borderId="22" xfId="4" applyFont="1" applyFill="1" applyBorder="1" applyAlignment="1" applyProtection="1">
      <alignment horizontal="left"/>
    </xf>
    <xf numFmtId="166" fontId="16" fillId="0" borderId="19" xfId="1" applyNumberFormat="1" applyFont="1" applyFill="1" applyBorder="1" applyAlignment="1" applyProtection="1"/>
    <xf numFmtId="0" fontId="4" fillId="0" borderId="0" xfId="0" applyFont="1" applyFill="1"/>
    <xf numFmtId="166" fontId="1" fillId="0" borderId="0" xfId="1" applyNumberFormat="1" applyFont="1" applyFill="1"/>
    <xf numFmtId="0" fontId="0" fillId="0" borderId="0" xfId="0" applyFont="1" applyFill="1"/>
    <xf numFmtId="166" fontId="0" fillId="0" borderId="0" xfId="1" applyNumberFormat="1" applyFont="1" applyFill="1"/>
    <xf numFmtId="166" fontId="5" fillId="0" borderId="18" xfId="1" applyNumberFormat="1" applyFont="1" applyBorder="1" applyAlignment="1">
      <alignment horizontal="center" vertical="center" wrapText="1"/>
    </xf>
    <xf numFmtId="166" fontId="5" fillId="0" borderId="46" xfId="1" applyNumberFormat="1" applyFont="1" applyBorder="1" applyAlignment="1">
      <alignment horizontal="center" vertical="center" wrapText="1"/>
    </xf>
    <xf numFmtId="166" fontId="6" fillId="0" borderId="19" xfId="1" applyNumberFormat="1" applyFont="1" applyBorder="1" applyAlignment="1">
      <alignment horizontal="center" vertical="center" wrapText="1"/>
    </xf>
    <xf numFmtId="166" fontId="6" fillId="0" borderId="30" xfId="1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66" fontId="6" fillId="0" borderId="8" xfId="1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6" fontId="5" fillId="0" borderId="39" xfId="1" applyNumberFormat="1" applyFont="1" applyFill="1" applyBorder="1" applyAlignment="1"/>
    <xf numFmtId="0" fontId="89" fillId="0" borderId="4" xfId="4" applyFont="1" applyFill="1" applyBorder="1" applyAlignment="1" applyProtection="1">
      <alignment horizontal="center" vertical="center" wrapText="1"/>
    </xf>
    <xf numFmtId="0" fontId="89" fillId="0" borderId="66" xfId="4" applyFont="1" applyFill="1" applyBorder="1" applyAlignment="1" applyProtection="1">
      <alignment horizontal="center" vertical="center" wrapText="1"/>
    </xf>
    <xf numFmtId="166" fontId="91" fillId="0" borderId="68" xfId="4" applyNumberFormat="1" applyFont="1" applyFill="1" applyBorder="1"/>
    <xf numFmtId="166" fontId="14" fillId="2" borderId="83" xfId="2" applyNumberFormat="1" applyFont="1" applyFill="1" applyBorder="1"/>
    <xf numFmtId="166" fontId="0" fillId="2" borderId="0" xfId="0" applyNumberFormat="1" applyFill="1"/>
    <xf numFmtId="166" fontId="5" fillId="2" borderId="0" xfId="0" applyNumberFormat="1" applyFont="1" applyFill="1"/>
    <xf numFmtId="166" fontId="5" fillId="2" borderId="19" xfId="1" applyNumberFormat="1" applyFont="1" applyFill="1" applyBorder="1"/>
    <xf numFmtId="166" fontId="93" fillId="0" borderId="0" xfId="1" applyNumberFormat="1" applyFont="1" applyFill="1" applyBorder="1"/>
    <xf numFmtId="166" fontId="93" fillId="0" borderId="0" xfId="1" applyNumberFormat="1" applyFont="1"/>
    <xf numFmtId="166" fontId="93" fillId="0" borderId="0" xfId="0" applyNumberFormat="1" applyFont="1"/>
    <xf numFmtId="3" fontId="49" fillId="0" borderId="0" xfId="0" applyNumberFormat="1" applyFont="1"/>
    <xf numFmtId="49" fontId="19" fillId="2" borderId="14" xfId="5" applyNumberFormat="1" applyFont="1" applyFill="1" applyBorder="1" applyAlignment="1">
      <alignment horizontal="center" vertical="center" wrapText="1"/>
    </xf>
    <xf numFmtId="164" fontId="19" fillId="2" borderId="15" xfId="5" applyNumberFormat="1" applyFont="1" applyFill="1" applyBorder="1" applyAlignment="1" applyProtection="1">
      <alignment horizontal="center" vertical="center" wrapText="1"/>
    </xf>
    <xf numFmtId="164" fontId="19" fillId="2" borderId="15" xfId="5" applyNumberFormat="1" applyFont="1" applyFill="1" applyBorder="1" applyAlignment="1" applyProtection="1">
      <alignment horizontal="center" vertical="center" wrapText="1"/>
      <protection locked="0"/>
    </xf>
    <xf numFmtId="164" fontId="20" fillId="3" borderId="45" xfId="5" applyNumberFormat="1" applyFont="1" applyFill="1" applyBorder="1" applyAlignment="1">
      <alignment horizontal="center" vertical="center" wrapText="1"/>
    </xf>
    <xf numFmtId="49" fontId="19" fillId="3" borderId="23" xfId="5" applyNumberFormat="1" applyFont="1" applyFill="1" applyBorder="1" applyAlignment="1">
      <alignment horizontal="center" vertical="center" wrapText="1"/>
    </xf>
    <xf numFmtId="165" fontId="20" fillId="3" borderId="13" xfId="5" applyNumberFormat="1" applyFont="1" applyFill="1" applyBorder="1" applyAlignment="1" applyProtection="1">
      <alignment horizontal="center" vertical="center" wrapText="1"/>
      <protection locked="0"/>
    </xf>
    <xf numFmtId="164" fontId="20" fillId="3" borderId="13" xfId="5" applyNumberFormat="1" applyFont="1" applyFill="1" applyBorder="1" applyAlignment="1" applyProtection="1">
      <alignment horizontal="center" vertical="center" wrapText="1"/>
      <protection locked="0"/>
    </xf>
    <xf numFmtId="49" fontId="19" fillId="3" borderId="35" xfId="5" applyNumberFormat="1" applyFont="1" applyFill="1" applyBorder="1" applyAlignment="1">
      <alignment horizontal="center" vertical="center" wrapText="1"/>
    </xf>
    <xf numFmtId="165" fontId="20" fillId="3" borderId="21" xfId="5" applyNumberFormat="1" applyFont="1" applyFill="1" applyBorder="1" applyAlignment="1" applyProtection="1">
      <alignment horizontal="center" vertical="center" wrapText="1"/>
      <protection locked="0"/>
    </xf>
    <xf numFmtId="164" fontId="20" fillId="3" borderId="21" xfId="5" applyNumberFormat="1" applyFont="1" applyFill="1" applyBorder="1" applyAlignment="1" applyProtection="1">
      <alignment horizontal="center" vertical="center" wrapText="1"/>
      <protection locked="0"/>
    </xf>
    <xf numFmtId="49" fontId="19" fillId="3" borderId="14" xfId="5" applyNumberFormat="1" applyFont="1" applyFill="1" applyBorder="1" applyAlignment="1">
      <alignment horizontal="center" vertical="center" wrapText="1"/>
    </xf>
    <xf numFmtId="164" fontId="19" fillId="3" borderId="15" xfId="5" applyNumberFormat="1" applyFont="1" applyFill="1" applyBorder="1" applyAlignment="1" applyProtection="1">
      <alignment horizontal="center" vertical="center" wrapText="1"/>
      <protection locked="0"/>
    </xf>
    <xf numFmtId="164" fontId="19" fillId="3" borderId="15" xfId="5" applyNumberFormat="1" applyFont="1" applyFill="1" applyBorder="1" applyAlignment="1" applyProtection="1">
      <alignment horizontal="center" vertical="center" wrapText="1"/>
    </xf>
    <xf numFmtId="164" fontId="20" fillId="3" borderId="13" xfId="5" applyNumberFormat="1" applyFont="1" applyFill="1" applyBorder="1" applyAlignment="1" applyProtection="1">
      <alignment horizontal="left" vertical="center" wrapText="1"/>
      <protection locked="0"/>
    </xf>
    <xf numFmtId="164" fontId="20" fillId="3" borderId="21" xfId="5" applyNumberFormat="1" applyFont="1" applyFill="1" applyBorder="1" applyAlignment="1" applyProtection="1">
      <alignment horizontal="left" vertical="center" wrapText="1"/>
      <protection locked="0"/>
    </xf>
    <xf numFmtId="164" fontId="14" fillId="2" borderId="13" xfId="5" applyNumberFormat="1" applyFont="1" applyFill="1" applyBorder="1" applyAlignment="1" applyProtection="1">
      <alignment horizontal="center" vertical="center" wrapText="1"/>
    </xf>
    <xf numFmtId="164" fontId="7" fillId="2" borderId="13" xfId="5" applyNumberFormat="1" applyFont="1" applyFill="1" applyBorder="1" applyAlignment="1" applyProtection="1">
      <alignment horizontal="center" vertical="center" wrapText="1"/>
    </xf>
    <xf numFmtId="0" fontId="15" fillId="0" borderId="26" xfId="4" applyFont="1" applyFill="1" applyBorder="1" applyAlignment="1" applyProtection="1">
      <alignment horizontal="left" vertical="center" wrapText="1" indent="1"/>
    </xf>
    <xf numFmtId="0" fontId="52" fillId="0" borderId="17" xfId="4" applyFont="1" applyFill="1" applyBorder="1" applyAlignment="1" applyProtection="1">
      <alignment horizontal="left" vertical="center" wrapText="1" indent="1"/>
    </xf>
    <xf numFmtId="166" fontId="37" fillId="0" borderId="84" xfId="1" applyNumberFormat="1" applyFont="1" applyFill="1" applyBorder="1" applyAlignment="1" applyProtection="1">
      <alignment vertical="center" wrapText="1"/>
    </xf>
    <xf numFmtId="166" fontId="37" fillId="0" borderId="4" xfId="1" applyNumberFormat="1" applyFont="1" applyFill="1" applyBorder="1" applyAlignment="1" applyProtection="1">
      <alignment vertical="center" wrapText="1"/>
    </xf>
    <xf numFmtId="0" fontId="15" fillId="0" borderId="51" xfId="4" applyFont="1" applyFill="1" applyBorder="1" applyAlignment="1" applyProtection="1">
      <alignment horizontal="left" vertical="center" wrapText="1" indent="1"/>
    </xf>
    <xf numFmtId="166" fontId="15" fillId="2" borderId="6" xfId="1" applyNumberFormat="1" applyFont="1" applyFill="1" applyBorder="1" applyAlignment="1" applyProtection="1">
      <alignment vertical="center" wrapText="1"/>
    </xf>
    <xf numFmtId="166" fontId="15" fillId="0" borderId="43" xfId="1" applyNumberFormat="1" applyFont="1" applyFill="1" applyBorder="1" applyAlignment="1" applyProtection="1">
      <alignment vertical="center" wrapText="1"/>
    </xf>
    <xf numFmtId="166" fontId="13" fillId="0" borderId="13" xfId="1" applyNumberFormat="1" applyFont="1" applyFill="1" applyBorder="1" applyAlignment="1" applyProtection="1">
      <alignment vertical="center" wrapText="1"/>
    </xf>
    <xf numFmtId="0" fontId="37" fillId="0" borderId="22" xfId="4" applyFont="1" applyFill="1" applyBorder="1" applyAlignment="1" applyProtection="1">
      <alignment horizontal="left" vertical="center" wrapText="1" indent="2"/>
    </xf>
    <xf numFmtId="166" fontId="37" fillId="0" borderId="19" xfId="1" applyNumberFormat="1" applyFont="1" applyFill="1" applyBorder="1" applyAlignment="1" applyProtection="1">
      <alignment vertical="center" wrapText="1"/>
    </xf>
    <xf numFmtId="166" fontId="13" fillId="0" borderId="39" xfId="1" applyNumberFormat="1" applyFont="1" applyFill="1" applyBorder="1" applyAlignment="1" applyProtection="1">
      <alignment vertical="center" wrapText="1"/>
      <protection locked="0"/>
    </xf>
    <xf numFmtId="166" fontId="13" fillId="0" borderId="39" xfId="1" applyNumberFormat="1" applyFont="1" applyFill="1" applyBorder="1" applyAlignment="1" applyProtection="1">
      <alignment vertical="center" wrapText="1"/>
    </xf>
    <xf numFmtId="0" fontId="13" fillId="0" borderId="48" xfId="4" applyFont="1" applyFill="1" applyBorder="1" applyAlignment="1" applyProtection="1">
      <alignment horizontal="left" vertical="center" wrapText="1" indent="2"/>
    </xf>
    <xf numFmtId="166" fontId="13" fillId="0" borderId="32" xfId="1" applyNumberFormat="1" applyFont="1" applyFill="1" applyBorder="1" applyAlignment="1" applyProtection="1">
      <alignment vertical="center" wrapText="1"/>
    </xf>
    <xf numFmtId="166" fontId="13" fillId="0" borderId="40" xfId="1" applyNumberFormat="1" applyFont="1" applyFill="1" applyBorder="1" applyAlignment="1" applyProtection="1">
      <alignment vertical="center" wrapText="1"/>
      <protection locked="0"/>
    </xf>
    <xf numFmtId="49" fontId="19" fillId="3" borderId="22" xfId="5" applyNumberFormat="1" applyFont="1" applyFill="1" applyBorder="1" applyAlignment="1">
      <alignment horizontal="center" vertical="center" wrapText="1"/>
    </xf>
    <xf numFmtId="164" fontId="20" fillId="3" borderId="19" xfId="5" applyNumberFormat="1" applyFont="1" applyFill="1" applyBorder="1" applyAlignment="1">
      <alignment horizontal="left" vertical="center" wrapText="1"/>
    </xf>
    <xf numFmtId="164" fontId="20" fillId="3" borderId="19" xfId="5" applyNumberFormat="1" applyFont="1" applyFill="1" applyBorder="1" applyAlignment="1">
      <alignment horizontal="center" vertical="center" wrapText="1"/>
    </xf>
    <xf numFmtId="164" fontId="19" fillId="3" borderId="19" xfId="5" applyNumberFormat="1" applyFont="1" applyFill="1" applyBorder="1" applyAlignment="1">
      <alignment horizontal="center" vertical="center" wrapText="1"/>
    </xf>
    <xf numFmtId="164" fontId="20" fillId="3" borderId="34" xfId="5" applyNumberFormat="1" applyFont="1" applyFill="1" applyBorder="1" applyAlignment="1">
      <alignment horizontal="center" vertical="center" wrapText="1"/>
    </xf>
    <xf numFmtId="0" fontId="20" fillId="3" borderId="0" xfId="5" applyFont="1" applyFill="1"/>
    <xf numFmtId="164" fontId="20" fillId="3" borderId="39" xfId="5" applyNumberFormat="1" applyFont="1" applyFill="1" applyBorder="1" applyAlignment="1">
      <alignment horizontal="center" vertical="center" wrapText="1"/>
    </xf>
    <xf numFmtId="164" fontId="20" fillId="3" borderId="42" xfId="5" applyNumberFormat="1" applyFont="1" applyFill="1" applyBorder="1" applyAlignment="1">
      <alignment horizontal="center" vertical="center" wrapText="1"/>
    </xf>
    <xf numFmtId="166" fontId="7" fillId="2" borderId="82" xfId="1" applyNumberFormat="1" applyFont="1" applyFill="1" applyBorder="1" applyAlignment="1">
      <alignment horizontal="center" vertical="center"/>
    </xf>
    <xf numFmtId="166" fontId="7" fillId="0" borderId="82" xfId="1" applyNumberFormat="1" applyFont="1" applyFill="1" applyBorder="1" applyAlignment="1">
      <alignment horizontal="center" vertical="center"/>
    </xf>
    <xf numFmtId="3" fontId="19" fillId="2" borderId="4" xfId="0" applyNumberFormat="1" applyFont="1" applyFill="1" applyBorder="1" applyAlignment="1">
      <alignment horizontal="center" vertical="center"/>
    </xf>
    <xf numFmtId="166" fontId="7" fillId="2" borderId="6" xfId="0" applyNumberFormat="1" applyFont="1" applyFill="1" applyBorder="1"/>
    <xf numFmtId="166" fontId="48" fillId="2" borderId="13" xfId="1" applyNumberFormat="1" applyFont="1" applyFill="1" applyBorder="1"/>
    <xf numFmtId="166" fontId="14" fillId="0" borderId="13" xfId="1" applyNumberFormat="1" applyFont="1" applyFill="1" applyBorder="1"/>
    <xf numFmtId="3" fontId="14" fillId="2" borderId="22" xfId="0" applyNumberFormat="1" applyFont="1" applyFill="1" applyBorder="1" applyAlignment="1">
      <alignment horizontal="center" vertical="center"/>
    </xf>
    <xf numFmtId="3" fontId="14" fillId="2" borderId="19" xfId="0" applyNumberFormat="1" applyFont="1" applyFill="1" applyBorder="1" applyAlignment="1">
      <alignment horizontal="center" vertical="center"/>
    </xf>
    <xf numFmtId="166" fontId="14" fillId="2" borderId="19" xfId="1" applyNumberFormat="1" applyFont="1" applyFill="1" applyBorder="1" applyAlignment="1">
      <alignment horizontal="center" vertical="center"/>
    </xf>
    <xf numFmtId="166" fontId="14" fillId="2" borderId="34" xfId="1" applyNumberFormat="1" applyFont="1" applyFill="1" applyBorder="1" applyAlignment="1">
      <alignment horizontal="center" vertical="center"/>
    </xf>
    <xf numFmtId="166" fontId="14" fillId="0" borderId="23" xfId="1" applyNumberFormat="1" applyFont="1" applyBorder="1"/>
    <xf numFmtId="166" fontId="14" fillId="0" borderId="39" xfId="1" applyNumberFormat="1" applyFont="1" applyBorder="1" applyAlignment="1">
      <alignment horizontal="center"/>
    </xf>
    <xf numFmtId="166" fontId="14" fillId="2" borderId="23" xfId="1" applyNumberFormat="1" applyFont="1" applyFill="1" applyBorder="1"/>
    <xf numFmtId="166" fontId="14" fillId="2" borderId="39" xfId="1" applyNumberFormat="1" applyFont="1" applyFill="1" applyBorder="1" applyAlignment="1">
      <alignment horizontal="center"/>
    </xf>
    <xf numFmtId="166" fontId="14" fillId="0" borderId="23" xfId="1" applyNumberFormat="1" applyFont="1" applyFill="1" applyBorder="1"/>
    <xf numFmtId="166" fontId="14" fillId="0" borderId="39" xfId="1" applyNumberFormat="1" applyFont="1" applyFill="1" applyBorder="1" applyAlignment="1">
      <alignment horizontal="center"/>
    </xf>
    <xf numFmtId="166" fontId="14" fillId="0" borderId="48" xfId="1" applyNumberFormat="1" applyFont="1" applyBorder="1"/>
    <xf numFmtId="0" fontId="14" fillId="0" borderId="32" xfId="0" applyFont="1" applyBorder="1"/>
    <xf numFmtId="166" fontId="14" fillId="0" borderId="40" xfId="1" applyNumberFormat="1" applyFont="1" applyBorder="1" applyAlignment="1">
      <alignment horizontal="center"/>
    </xf>
    <xf numFmtId="166" fontId="7" fillId="0" borderId="33" xfId="1" applyNumberFormat="1" applyFont="1" applyBorder="1" applyAlignment="1">
      <alignment horizontal="center" vertical="center" wrapText="1"/>
    </xf>
    <xf numFmtId="166" fontId="19" fillId="2" borderId="4" xfId="1" applyNumberFormat="1" applyFont="1" applyFill="1" applyBorder="1" applyAlignment="1">
      <alignment horizontal="center" vertical="center"/>
    </xf>
    <xf numFmtId="166" fontId="7" fillId="0" borderId="6" xfId="0" applyNumberFormat="1" applyFont="1" applyFill="1" applyBorder="1"/>
    <xf numFmtId="0" fontId="7" fillId="0" borderId="4" xfId="0" applyFont="1" applyBorder="1" applyAlignment="1">
      <alignment horizontal="center" vertical="center"/>
    </xf>
    <xf numFmtId="166" fontId="15" fillId="0" borderId="0" xfId="1" applyNumberFormat="1" applyFont="1" applyBorder="1" applyAlignment="1"/>
    <xf numFmtId="166" fontId="4" fillId="0" borderId="0" xfId="1" applyNumberFormat="1" applyFont="1"/>
    <xf numFmtId="166" fontId="14" fillId="0" borderId="36" xfId="1" applyNumberFormat="1" applyFont="1" applyFill="1" applyBorder="1" applyAlignment="1"/>
    <xf numFmtId="0" fontId="14" fillId="0" borderId="13" xfId="0" applyFont="1" applyBorder="1" applyAlignment="1">
      <alignment horizontal="center"/>
    </xf>
    <xf numFmtId="49" fontId="14" fillId="0" borderId="13" xfId="0" applyNumberFormat="1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49" fontId="14" fillId="0" borderId="18" xfId="0" applyNumberFormat="1" applyFont="1" applyBorder="1" applyAlignment="1">
      <alignment horizontal="center"/>
    </xf>
    <xf numFmtId="0" fontId="14" fillId="0" borderId="18" xfId="0" applyFont="1" applyBorder="1"/>
    <xf numFmtId="166" fontId="14" fillId="2" borderId="58" xfId="1" applyNumberFormat="1" applyFont="1" applyFill="1" applyBorder="1"/>
    <xf numFmtId="49" fontId="14" fillId="0" borderId="21" xfId="0" applyNumberFormat="1" applyFont="1" applyBorder="1" applyAlignment="1">
      <alignment horizontal="center"/>
    </xf>
    <xf numFmtId="0" fontId="14" fillId="0" borderId="21" xfId="0" applyFont="1" applyBorder="1"/>
    <xf numFmtId="0" fontId="14" fillId="2" borderId="1" xfId="0" applyFont="1" applyFill="1" applyBorder="1" applyAlignment="1"/>
    <xf numFmtId="0" fontId="14" fillId="2" borderId="0" xfId="0" applyFont="1" applyFill="1" applyAlignment="1"/>
    <xf numFmtId="0" fontId="80" fillId="0" borderId="12" xfId="0" applyFont="1" applyBorder="1" applyAlignment="1">
      <alignment wrapText="1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30" fillId="0" borderId="26" xfId="4" applyFont="1" applyFill="1" applyBorder="1" applyAlignment="1" applyProtection="1">
      <alignment horizontal="center" vertical="center" wrapText="1"/>
    </xf>
    <xf numFmtId="0" fontId="33" fillId="0" borderId="13" xfId="4" applyFont="1" applyFill="1" applyBorder="1" applyAlignment="1">
      <alignment horizontal="center" vertical="center"/>
    </xf>
    <xf numFmtId="0" fontId="33" fillId="0" borderId="63" xfId="4" applyFont="1" applyFill="1" applyBorder="1" applyAlignment="1">
      <alignment horizontal="center" vertical="center"/>
    </xf>
    <xf numFmtId="166" fontId="33" fillId="0" borderId="55" xfId="6" applyNumberFormat="1" applyFont="1" applyFill="1" applyBorder="1" applyAlignment="1" applyProtection="1">
      <alignment horizontal="center" vertical="center"/>
      <protection locked="0"/>
    </xf>
    <xf numFmtId="166" fontId="33" fillId="0" borderId="51" xfId="6" applyNumberFormat="1" applyFont="1" applyFill="1" applyBorder="1" applyAlignment="1" applyProtection="1">
      <alignment horizontal="center" vertical="center"/>
      <protection locked="0"/>
    </xf>
    <xf numFmtId="166" fontId="33" fillId="0" borderId="43" xfId="6" applyNumberFormat="1" applyFont="1" applyFill="1" applyBorder="1" applyAlignment="1">
      <alignment horizontal="center" vertical="center"/>
    </xf>
    <xf numFmtId="166" fontId="33" fillId="0" borderId="13" xfId="6" applyNumberFormat="1" applyFont="1" applyFill="1" applyBorder="1" applyAlignment="1" applyProtection="1">
      <alignment horizontal="center" vertical="center"/>
      <protection locked="0"/>
    </xf>
    <xf numFmtId="166" fontId="33" fillId="0" borderId="29" xfId="6" applyNumberFormat="1" applyFont="1" applyFill="1" applyBorder="1" applyAlignment="1" applyProtection="1">
      <alignment horizontal="center" vertical="center"/>
      <protection locked="0"/>
    </xf>
    <xf numFmtId="166" fontId="33" fillId="0" borderId="19" xfId="6" applyNumberFormat="1" applyFont="1" applyFill="1" applyBorder="1" applyAlignment="1" applyProtection="1">
      <alignment horizontal="center" vertical="center"/>
      <protection locked="0"/>
    </xf>
    <xf numFmtId="166" fontId="33" fillId="0" borderId="30" xfId="6" applyNumberFormat="1" applyFont="1" applyFill="1" applyBorder="1" applyAlignment="1" applyProtection="1">
      <alignment horizontal="center" vertical="center"/>
      <protection locked="0"/>
    </xf>
    <xf numFmtId="166" fontId="33" fillId="0" borderId="32" xfId="6" applyNumberFormat="1" applyFont="1" applyFill="1" applyBorder="1" applyAlignment="1" applyProtection="1">
      <alignment horizontal="center" vertical="center"/>
      <protection locked="0"/>
    </xf>
    <xf numFmtId="166" fontId="33" fillId="0" borderId="47" xfId="6" applyNumberFormat="1" applyFont="1" applyFill="1" applyBorder="1" applyAlignment="1" applyProtection="1">
      <alignment horizontal="center" vertical="center"/>
      <protection locked="0"/>
    </xf>
    <xf numFmtId="166" fontId="5" fillId="0" borderId="0" xfId="0" applyNumberFormat="1" applyFont="1"/>
    <xf numFmtId="0" fontId="63" fillId="0" borderId="8" xfId="4" applyFont="1" applyFill="1" applyBorder="1" applyAlignment="1" applyProtection="1">
      <alignment horizontal="center" vertical="center"/>
    </xf>
    <xf numFmtId="164" fontId="0" fillId="0" borderId="0" xfId="0" applyNumberFormat="1"/>
    <xf numFmtId="164" fontId="19" fillId="2" borderId="16" xfId="5" applyNumberFormat="1" applyFont="1" applyFill="1" applyBorder="1" applyAlignment="1" applyProtection="1">
      <alignment horizontal="center" vertical="center" wrapText="1"/>
    </xf>
    <xf numFmtId="49" fontId="19" fillId="0" borderId="14" xfId="5" applyNumberFormat="1" applyFont="1" applyFill="1" applyBorder="1" applyAlignment="1">
      <alignment horizontal="center" vertical="center" wrapText="1"/>
    </xf>
    <xf numFmtId="0" fontId="75" fillId="0" borderId="13" xfId="0" applyFont="1" applyFill="1" applyBorder="1" applyAlignment="1">
      <alignment wrapText="1"/>
    </xf>
    <xf numFmtId="166" fontId="14" fillId="0" borderId="33" xfId="1" applyNumberFormat="1" applyFont="1" applyFill="1" applyBorder="1"/>
    <xf numFmtId="0" fontId="75" fillId="0" borderId="11" xfId="0" applyFont="1" applyFill="1" applyBorder="1"/>
    <xf numFmtId="0" fontId="75" fillId="0" borderId="12" xfId="0" applyFont="1" applyFill="1" applyBorder="1"/>
    <xf numFmtId="166" fontId="13" fillId="0" borderId="8" xfId="1" applyNumberFormat="1" applyFont="1" applyFill="1" applyBorder="1"/>
    <xf numFmtId="0" fontId="80" fillId="0" borderId="11" xfId="0" applyFont="1" applyFill="1" applyBorder="1"/>
    <xf numFmtId="0" fontId="7" fillId="0" borderId="8" xfId="0" applyFont="1" applyFill="1" applyBorder="1"/>
    <xf numFmtId="166" fontId="7" fillId="0" borderId="6" xfId="1" applyNumberFormat="1" applyFont="1" applyFill="1" applyBorder="1"/>
    <xf numFmtId="166" fontId="7" fillId="0" borderId="8" xfId="0" applyNumberFormat="1" applyFont="1" applyFill="1" applyBorder="1"/>
    <xf numFmtId="166" fontId="0" fillId="0" borderId="0" xfId="0" applyNumberFormat="1" applyAlignment="1"/>
    <xf numFmtId="3" fontId="94" fillId="0" borderId="8" xfId="0" applyNumberFormat="1" applyFont="1" applyFill="1" applyBorder="1"/>
    <xf numFmtId="3" fontId="19" fillId="2" borderId="33" xfId="0" applyNumberFormat="1" applyFont="1" applyFill="1" applyBorder="1" applyAlignment="1">
      <alignment horizontal="center"/>
    </xf>
    <xf numFmtId="3" fontId="14" fillId="2" borderId="8" xfId="0" applyNumberFormat="1" applyFont="1" applyFill="1" applyBorder="1" applyAlignment="1">
      <alignment horizontal="center"/>
    </xf>
    <xf numFmtId="0" fontId="13" fillId="0" borderId="3" xfId="0" applyFont="1" applyBorder="1" applyAlignment="1">
      <alignment wrapText="1"/>
    </xf>
    <xf numFmtId="166" fontId="13" fillId="0" borderId="3" xfId="1" applyNumberFormat="1" applyFont="1" applyBorder="1"/>
    <xf numFmtId="166" fontId="5" fillId="2" borderId="18" xfId="1" applyNumberFormat="1" applyFont="1" applyFill="1" applyBorder="1" applyAlignment="1"/>
    <xf numFmtId="166" fontId="5" fillId="0" borderId="45" xfId="1" applyNumberFormat="1" applyFont="1" applyFill="1" applyBorder="1"/>
    <xf numFmtId="3" fontId="78" fillId="2" borderId="29" xfId="0" applyNumberFormat="1" applyFont="1" applyFill="1" applyBorder="1"/>
    <xf numFmtId="3" fontId="78" fillId="2" borderId="36" xfId="0" applyNumberFormat="1" applyFont="1" applyFill="1" applyBorder="1"/>
    <xf numFmtId="3" fontId="77" fillId="2" borderId="8" xfId="0" applyNumberFormat="1" applyFont="1" applyFill="1" applyBorder="1" applyAlignment="1">
      <alignment wrapText="1"/>
    </xf>
    <xf numFmtId="3" fontId="78" fillId="2" borderId="49" xfId="0" applyNumberFormat="1" applyFont="1" applyFill="1" applyBorder="1"/>
    <xf numFmtId="3" fontId="76" fillId="0" borderId="22" xfId="0" applyNumberFormat="1" applyFont="1" applyFill="1" applyBorder="1" applyAlignment="1">
      <alignment wrapText="1"/>
    </xf>
    <xf numFmtId="3" fontId="76" fillId="0" borderId="19" xfId="0" applyNumberFormat="1" applyFont="1" applyFill="1" applyBorder="1"/>
    <xf numFmtId="3" fontId="76" fillId="2" borderId="19" xfId="0" applyNumberFormat="1" applyFont="1" applyFill="1" applyBorder="1"/>
    <xf numFmtId="3" fontId="76" fillId="2" borderId="30" xfId="0" applyNumberFormat="1" applyFont="1" applyFill="1" applyBorder="1"/>
    <xf numFmtId="3" fontId="76" fillId="0" borderId="23" xfId="0" applyNumberFormat="1" applyFont="1" applyFill="1" applyBorder="1" applyAlignment="1">
      <alignment wrapText="1"/>
    </xf>
    <xf numFmtId="3" fontId="28" fillId="0" borderId="45" xfId="0" applyNumberFormat="1" applyFont="1" applyFill="1" applyBorder="1"/>
    <xf numFmtId="3" fontId="28" fillId="2" borderId="55" xfId="0" applyNumberFormat="1" applyFont="1" applyFill="1" applyBorder="1"/>
    <xf numFmtId="3" fontId="28" fillId="2" borderId="51" xfId="0" applyNumberFormat="1" applyFont="1" applyFill="1" applyBorder="1"/>
    <xf numFmtId="3" fontId="28" fillId="0" borderId="32" xfId="0" applyNumberFormat="1" applyFont="1" applyFill="1" applyBorder="1"/>
    <xf numFmtId="3" fontId="28" fillId="0" borderId="40" xfId="0" applyNumberFormat="1" applyFont="1" applyFill="1" applyBorder="1"/>
    <xf numFmtId="3" fontId="28" fillId="0" borderId="49" xfId="0" applyNumberFormat="1" applyFont="1" applyFill="1" applyBorder="1"/>
    <xf numFmtId="3" fontId="28" fillId="0" borderId="54" xfId="0" applyNumberFormat="1" applyFont="1" applyFill="1" applyBorder="1"/>
    <xf numFmtId="3" fontId="28" fillId="0" borderId="55" xfId="0" applyNumberFormat="1" applyFont="1" applyFill="1" applyBorder="1"/>
    <xf numFmtId="3" fontId="28" fillId="0" borderId="43" xfId="0" applyNumberFormat="1" applyFont="1" applyFill="1" applyBorder="1"/>
    <xf numFmtId="3" fontId="77" fillId="0" borderId="3" xfId="0" applyNumberFormat="1" applyFont="1" applyFill="1" applyBorder="1" applyAlignment="1">
      <alignment wrapText="1"/>
    </xf>
    <xf numFmtId="3" fontId="77" fillId="0" borderId="32" xfId="0" applyNumberFormat="1" applyFont="1" applyFill="1" applyBorder="1"/>
    <xf numFmtId="3" fontId="77" fillId="2" borderId="59" xfId="0" applyNumberFormat="1" applyFont="1" applyFill="1" applyBorder="1"/>
    <xf numFmtId="3" fontId="77" fillId="2" borderId="47" xfId="0" applyNumberFormat="1" applyFont="1" applyFill="1" applyBorder="1"/>
    <xf numFmtId="3" fontId="77" fillId="0" borderId="18" xfId="0" applyNumberFormat="1" applyFont="1" applyFill="1" applyBorder="1"/>
    <xf numFmtId="3" fontId="66" fillId="2" borderId="18" xfId="0" applyNumberFormat="1" applyFont="1" applyFill="1" applyBorder="1"/>
    <xf numFmtId="3" fontId="66" fillId="0" borderId="15" xfId="0" applyNumberFormat="1" applyFont="1" applyFill="1" applyBorder="1"/>
    <xf numFmtId="3" fontId="77" fillId="0" borderId="62" xfId="0" applyNumberFormat="1" applyFont="1" applyFill="1" applyBorder="1"/>
    <xf numFmtId="3" fontId="77" fillId="0" borderId="64" xfId="0" applyNumberFormat="1" applyFont="1" applyFill="1" applyBorder="1"/>
    <xf numFmtId="3" fontId="77" fillId="2" borderId="64" xfId="0" applyNumberFormat="1" applyFont="1" applyFill="1" applyBorder="1"/>
    <xf numFmtId="3" fontId="78" fillId="2" borderId="64" xfId="0" applyNumberFormat="1" applyFont="1" applyFill="1" applyBorder="1"/>
    <xf numFmtId="3" fontId="28" fillId="0" borderId="64" xfId="0" applyNumberFormat="1" applyFont="1" applyFill="1" applyBorder="1"/>
    <xf numFmtId="3" fontId="28" fillId="0" borderId="65" xfId="0" applyNumberFormat="1" applyFont="1" applyFill="1" applyBorder="1"/>
    <xf numFmtId="3" fontId="66" fillId="0" borderId="22" xfId="0" applyNumberFormat="1" applyFont="1" applyFill="1" applyBorder="1"/>
    <xf numFmtId="3" fontId="66" fillId="0" borderId="19" xfId="0" applyNumberFormat="1" applyFont="1" applyFill="1" applyBorder="1"/>
    <xf numFmtId="3" fontId="77" fillId="0" borderId="63" xfId="0" applyNumberFormat="1" applyFont="1" applyFill="1" applyBorder="1"/>
    <xf numFmtId="3" fontId="78" fillId="0" borderId="23" xfId="0" applyNumberFormat="1" applyFont="1" applyFill="1" applyBorder="1"/>
    <xf numFmtId="164" fontId="7" fillId="4" borderId="67" xfId="5" applyNumberFormat="1" applyFont="1" applyFill="1" applyBorder="1" applyAlignment="1">
      <alignment horizontal="center" vertical="center"/>
    </xf>
    <xf numFmtId="0" fontId="15" fillId="0" borderId="55" xfId="4" applyFont="1" applyFill="1" applyBorder="1" applyAlignment="1" applyProtection="1">
      <alignment vertical="center" wrapText="1"/>
    </xf>
    <xf numFmtId="0" fontId="13" fillId="0" borderId="13" xfId="4" applyFont="1" applyFill="1" applyBorder="1" applyAlignment="1" applyProtection="1">
      <alignment vertical="center" wrapText="1"/>
    </xf>
    <xf numFmtId="166" fontId="5" fillId="3" borderId="19" xfId="1" applyNumberFormat="1" applyFont="1" applyFill="1" applyBorder="1" applyAlignment="1"/>
    <xf numFmtId="0" fontId="33" fillId="0" borderId="52" xfId="4" applyFont="1" applyFill="1" applyBorder="1" applyAlignment="1">
      <alignment horizontal="center" vertical="center"/>
    </xf>
    <xf numFmtId="164" fontId="5" fillId="2" borderId="21" xfId="5" applyNumberFormat="1" applyFont="1" applyFill="1" applyBorder="1" applyAlignment="1">
      <alignment vertical="center" wrapText="1"/>
    </xf>
    <xf numFmtId="166" fontId="33" fillId="0" borderId="21" xfId="6" applyNumberFormat="1" applyFont="1" applyFill="1" applyBorder="1" applyAlignment="1" applyProtection="1">
      <alignment horizontal="center" vertical="center"/>
      <protection locked="0"/>
    </xf>
    <xf numFmtId="166" fontId="33" fillId="0" borderId="50" xfId="6" applyNumberFormat="1" applyFont="1" applyFill="1" applyBorder="1" applyAlignment="1" applyProtection="1">
      <alignment horizontal="center" vertical="center"/>
      <protection locked="0"/>
    </xf>
    <xf numFmtId="166" fontId="33" fillId="0" borderId="65" xfId="6" applyNumberFormat="1" applyFont="1" applyFill="1" applyBorder="1" applyAlignment="1">
      <alignment horizontal="center" vertical="center"/>
    </xf>
    <xf numFmtId="166" fontId="5" fillId="3" borderId="13" xfId="1" applyNumberFormat="1" applyFont="1" applyFill="1" applyBorder="1" applyAlignment="1"/>
    <xf numFmtId="166" fontId="5" fillId="3" borderId="32" xfId="1" applyNumberFormat="1" applyFont="1" applyFill="1" applyBorder="1" applyAlignment="1"/>
    <xf numFmtId="167" fontId="13" fillId="0" borderId="0" xfId="1" applyNumberFormat="1" applyFont="1"/>
    <xf numFmtId="168" fontId="13" fillId="0" borderId="0" xfId="0" applyNumberFormat="1" applyFont="1"/>
    <xf numFmtId="3" fontId="79" fillId="0" borderId="13" xfId="0" applyNumberFormat="1" applyFont="1" applyFill="1" applyBorder="1"/>
    <xf numFmtId="3" fontId="14" fillId="0" borderId="13" xfId="0" applyNumberFormat="1" applyFont="1" applyBorder="1" applyAlignment="1">
      <alignment horizontal="center"/>
    </xf>
    <xf numFmtId="3" fontId="14" fillId="0" borderId="13" xfId="0" applyNumberFormat="1" applyFont="1" applyBorder="1" applyAlignment="1">
      <alignment horizontal="right"/>
    </xf>
    <xf numFmtId="4" fontId="87" fillId="0" borderId="19" xfId="0" applyNumberFormat="1" applyFont="1" applyBorder="1" applyAlignment="1">
      <alignment horizontal="center"/>
    </xf>
    <xf numFmtId="3" fontId="87" fillId="0" borderId="19" xfId="0" applyNumberFormat="1" applyFont="1" applyBorder="1" applyAlignment="1">
      <alignment horizontal="right"/>
    </xf>
    <xf numFmtId="3" fontId="88" fillId="2" borderId="34" xfId="0" applyNumberFormat="1" applyFont="1" applyFill="1" applyBorder="1" applyAlignment="1">
      <alignment horizontal="right"/>
    </xf>
    <xf numFmtId="3" fontId="13" fillId="2" borderId="39" xfId="0" applyNumberFormat="1" applyFont="1" applyFill="1" applyBorder="1" applyAlignment="1">
      <alignment horizontal="right"/>
    </xf>
    <xf numFmtId="3" fontId="14" fillId="2" borderId="39" xfId="0" applyNumberFormat="1" applyFont="1" applyFill="1" applyBorder="1" applyAlignment="1">
      <alignment horizontal="right"/>
    </xf>
    <xf numFmtId="3" fontId="14" fillId="0" borderId="13" xfId="0" applyNumberFormat="1" applyFont="1" applyBorder="1"/>
    <xf numFmtId="3" fontId="14" fillId="2" borderId="39" xfId="0" applyNumberFormat="1" applyFont="1" applyFill="1" applyBorder="1"/>
    <xf numFmtId="3" fontId="16" fillId="2" borderId="40" xfId="0" applyNumberFormat="1" applyFont="1" applyFill="1" applyBorder="1"/>
    <xf numFmtId="3" fontId="14" fillId="0" borderId="21" xfId="0" applyNumberFormat="1" applyFont="1" applyBorder="1" applyAlignment="1">
      <alignment horizontal="center"/>
    </xf>
    <xf numFmtId="3" fontId="14" fillId="0" borderId="21" xfId="0" applyNumberFormat="1" applyFont="1" applyBorder="1" applyAlignment="1">
      <alignment horizontal="right"/>
    </xf>
    <xf numFmtId="3" fontId="14" fillId="2" borderId="42" xfId="0" applyNumberFormat="1" applyFont="1" applyFill="1" applyBorder="1" applyAlignment="1">
      <alignment horizontal="right"/>
    </xf>
    <xf numFmtId="3" fontId="14" fillId="0" borderId="18" xfId="0" applyNumberFormat="1" applyFont="1" applyBorder="1" applyAlignment="1">
      <alignment horizontal="center"/>
    </xf>
    <xf numFmtId="3" fontId="14" fillId="0" borderId="18" xfId="0" applyNumberFormat="1" applyFont="1" applyBorder="1" applyAlignment="1">
      <alignment horizontal="right"/>
    </xf>
    <xf numFmtId="3" fontId="14" fillId="2" borderId="45" xfId="0" applyNumberFormat="1" applyFont="1" applyFill="1" applyBorder="1" applyAlignment="1">
      <alignment horizontal="right"/>
    </xf>
    <xf numFmtId="3" fontId="16" fillId="2" borderId="42" xfId="0" applyNumberFormat="1" applyFont="1" applyFill="1" applyBorder="1"/>
    <xf numFmtId="3" fontId="13" fillId="0" borderId="19" xfId="0" applyNumberFormat="1" applyFont="1" applyBorder="1" applyAlignment="1">
      <alignment horizontal="center"/>
    </xf>
    <xf numFmtId="3" fontId="13" fillId="0" borderId="19" xfId="0" applyNumberFormat="1" applyFont="1" applyBorder="1"/>
    <xf numFmtId="3" fontId="14" fillId="2" borderId="34" xfId="0" applyNumberFormat="1" applyFont="1" applyFill="1" applyBorder="1"/>
    <xf numFmtId="0" fontId="14" fillId="0" borderId="19" xfId="0" applyFont="1" applyBorder="1" applyAlignment="1">
      <alignment horizontal="center"/>
    </xf>
    <xf numFmtId="3" fontId="14" fillId="0" borderId="19" xfId="0" applyNumberFormat="1" applyFont="1" applyBorder="1"/>
    <xf numFmtId="0" fontId="88" fillId="0" borderId="25" xfId="0" applyFont="1" applyBorder="1"/>
    <xf numFmtId="0" fontId="88" fillId="0" borderId="24" xfId="0" applyFont="1" applyBorder="1" applyAlignment="1">
      <alignment wrapText="1"/>
    </xf>
    <xf numFmtId="0" fontId="88" fillId="0" borderId="24" xfId="0" applyFont="1" applyBorder="1"/>
    <xf numFmtId="0" fontId="88" fillId="0" borderId="25" xfId="0" applyFont="1" applyBorder="1" applyAlignment="1">
      <alignment wrapText="1"/>
    </xf>
    <xf numFmtId="0" fontId="88" fillId="0" borderId="24" xfId="0" applyFont="1" applyBorder="1" applyAlignment="1">
      <alignment horizontal="left" wrapText="1"/>
    </xf>
    <xf numFmtId="0" fontId="88" fillId="0" borderId="5" xfId="0" applyFont="1" applyBorder="1"/>
    <xf numFmtId="49" fontId="17" fillId="0" borderId="5" xfId="0" applyNumberFormat="1" applyFont="1" applyFill="1" applyBorder="1"/>
    <xf numFmtId="166" fontId="13" fillId="0" borderId="31" xfId="1" applyNumberFormat="1" applyFont="1" applyBorder="1"/>
    <xf numFmtId="166" fontId="13" fillId="0" borderId="6" xfId="1" applyNumberFormat="1" applyFont="1" applyBorder="1"/>
    <xf numFmtId="166" fontId="13" fillId="0" borderId="6" xfId="1" applyNumberFormat="1" applyFont="1" applyFill="1" applyBorder="1"/>
    <xf numFmtId="166" fontId="4" fillId="0" borderId="8" xfId="1" applyNumberFormat="1" applyFont="1" applyBorder="1"/>
    <xf numFmtId="166" fontId="5" fillId="2" borderId="13" xfId="1" applyNumberFormat="1" applyFont="1" applyFill="1" applyBorder="1" applyAlignment="1"/>
    <xf numFmtId="3" fontId="20" fillId="0" borderId="64" xfId="0" applyNumberFormat="1" applyFont="1" applyFill="1" applyBorder="1"/>
    <xf numFmtId="166" fontId="20" fillId="0" borderId="0" xfId="1" applyNumberFormat="1" applyFont="1"/>
    <xf numFmtId="0" fontId="14" fillId="0" borderId="21" xfId="0" applyFont="1" applyBorder="1" applyAlignment="1">
      <alignment wrapText="1"/>
    </xf>
    <xf numFmtId="0" fontId="0" fillId="0" borderId="0" xfId="0" applyAlignment="1">
      <alignment horizontal="center"/>
    </xf>
    <xf numFmtId="0" fontId="14" fillId="0" borderId="26" xfId="0" applyFont="1" applyBorder="1" applyAlignment="1">
      <alignment horizontal="center" vertical="center"/>
    </xf>
    <xf numFmtId="49" fontId="19" fillId="2" borderId="17" xfId="5" applyNumberFormat="1" applyFont="1" applyFill="1" applyBorder="1" applyAlignment="1">
      <alignment horizontal="center" vertical="center" wrapText="1"/>
    </xf>
    <xf numFmtId="164" fontId="19" fillId="2" borderId="20" xfId="5" applyNumberFormat="1" applyFont="1" applyFill="1" applyBorder="1" applyAlignment="1">
      <alignment horizontal="center" vertical="center" wrapText="1"/>
    </xf>
    <xf numFmtId="164" fontId="19" fillId="2" borderId="20" xfId="5" applyNumberFormat="1" applyFont="1" applyFill="1" applyBorder="1" applyAlignment="1" applyProtection="1">
      <alignment horizontal="center" vertical="center" wrapText="1"/>
    </xf>
    <xf numFmtId="3" fontId="19" fillId="2" borderId="20" xfId="5" applyNumberFormat="1" applyFont="1" applyFill="1" applyBorder="1" applyAlignment="1" applyProtection="1">
      <alignment horizontal="center" vertical="center" wrapText="1"/>
    </xf>
    <xf numFmtId="3" fontId="19" fillId="2" borderId="28" xfId="5" applyNumberFormat="1" applyFont="1" applyFill="1" applyBorder="1" applyAlignment="1">
      <alignment horizontal="center" vertical="center" wrapText="1"/>
    </xf>
    <xf numFmtId="164" fontId="20" fillId="2" borderId="15" xfId="5" applyNumberFormat="1" applyFont="1" applyFill="1" applyBorder="1" applyAlignment="1" applyProtection="1">
      <alignment horizontal="left" vertical="center" wrapText="1"/>
      <protection locked="0"/>
    </xf>
    <xf numFmtId="165" fontId="20" fillId="2" borderId="15" xfId="5" applyNumberFormat="1" applyFont="1" applyFill="1" applyBorder="1" applyAlignment="1" applyProtection="1">
      <alignment horizontal="center" vertical="center" wrapText="1"/>
      <protection locked="0"/>
    </xf>
    <xf numFmtId="3" fontId="20" fillId="2" borderId="15" xfId="5" applyNumberFormat="1" applyFont="1" applyFill="1" applyBorder="1" applyAlignment="1" applyProtection="1">
      <alignment horizontal="center" vertical="center" wrapText="1"/>
      <protection locked="0"/>
    </xf>
    <xf numFmtId="164" fontId="20" fillId="2" borderId="15" xfId="5" applyNumberFormat="1" applyFont="1" applyFill="1" applyBorder="1" applyAlignment="1" applyProtection="1">
      <alignment horizontal="center" vertical="center" wrapText="1"/>
      <protection locked="0"/>
    </xf>
    <xf numFmtId="3" fontId="20" fillId="2" borderId="16" xfId="5" applyNumberFormat="1" applyFont="1" applyFill="1" applyBorder="1" applyAlignment="1">
      <alignment horizontal="center" vertical="center" wrapText="1"/>
    </xf>
    <xf numFmtId="49" fontId="19" fillId="0" borderId="63" xfId="5" applyNumberFormat="1" applyFont="1" applyFill="1" applyBorder="1" applyAlignment="1">
      <alignment horizontal="center" vertical="center" wrapText="1"/>
    </xf>
    <xf numFmtId="164" fontId="20" fillId="0" borderId="18" xfId="5" applyNumberFormat="1" applyFont="1" applyFill="1" applyBorder="1" applyAlignment="1" applyProtection="1">
      <alignment horizontal="left" vertical="center" wrapText="1"/>
      <protection locked="0"/>
    </xf>
    <xf numFmtId="165" fontId="20" fillId="0" borderId="18" xfId="5" applyNumberFormat="1" applyFont="1" applyFill="1" applyBorder="1" applyAlignment="1" applyProtection="1">
      <alignment horizontal="center" vertical="center" wrapText="1"/>
      <protection locked="0"/>
    </xf>
    <xf numFmtId="164" fontId="20" fillId="0" borderId="18" xfId="5" applyNumberFormat="1" applyFont="1" applyFill="1" applyBorder="1" applyAlignment="1" applyProtection="1">
      <alignment horizontal="center" vertical="center" wrapText="1"/>
      <protection locked="0"/>
    </xf>
    <xf numFmtId="164" fontId="20" fillId="0" borderId="45" xfId="5" applyNumberFormat="1" applyFont="1" applyFill="1" applyBorder="1" applyAlignment="1">
      <alignment horizontal="center" vertical="center" wrapText="1"/>
    </xf>
    <xf numFmtId="0" fontId="14" fillId="0" borderId="0" xfId="5" applyFont="1" applyFill="1"/>
    <xf numFmtId="49" fontId="19" fillId="0" borderId="23" xfId="5" applyNumberFormat="1" applyFont="1" applyFill="1" applyBorder="1" applyAlignment="1">
      <alignment horizontal="center" vertical="center" wrapText="1"/>
    </xf>
    <xf numFmtId="164" fontId="20" fillId="0" borderId="13" xfId="5" applyNumberFormat="1" applyFont="1" applyFill="1" applyBorder="1" applyAlignment="1">
      <alignment horizontal="left" vertical="center" wrapText="1"/>
    </xf>
    <xf numFmtId="165" fontId="20" fillId="0" borderId="13" xfId="5" applyNumberFormat="1" applyFont="1" applyFill="1" applyBorder="1" applyAlignment="1" applyProtection="1">
      <alignment horizontal="center" vertical="center" wrapText="1"/>
      <protection locked="0"/>
    </xf>
    <xf numFmtId="164" fontId="20" fillId="0" borderId="13" xfId="5" applyNumberFormat="1" applyFont="1" applyFill="1" applyBorder="1" applyAlignment="1" applyProtection="1">
      <alignment horizontal="center" vertical="center" wrapText="1"/>
      <protection locked="0"/>
    </xf>
    <xf numFmtId="3" fontId="20" fillId="0" borderId="13" xfId="5" applyNumberFormat="1" applyFont="1" applyFill="1" applyBorder="1" applyAlignment="1" applyProtection="1">
      <alignment horizontal="center" vertical="center" wrapText="1"/>
      <protection locked="0"/>
    </xf>
    <xf numFmtId="49" fontId="19" fillId="0" borderId="35" xfId="5" applyNumberFormat="1" applyFont="1" applyFill="1" applyBorder="1" applyAlignment="1">
      <alignment horizontal="center" vertical="center" wrapText="1"/>
    </xf>
    <xf numFmtId="164" fontId="20" fillId="0" borderId="21" xfId="5" applyNumberFormat="1" applyFont="1" applyFill="1" applyBorder="1" applyAlignment="1">
      <alignment horizontal="left" vertical="center" wrapText="1"/>
    </xf>
    <xf numFmtId="165" fontId="20" fillId="0" borderId="21" xfId="5" applyNumberFormat="1" applyFont="1" applyFill="1" applyBorder="1" applyAlignment="1" applyProtection="1">
      <alignment horizontal="center" vertical="center" wrapText="1"/>
      <protection locked="0"/>
    </xf>
    <xf numFmtId="164" fontId="20" fillId="0" borderId="21" xfId="5" applyNumberFormat="1" applyFont="1" applyFill="1" applyBorder="1" applyAlignment="1" applyProtection="1">
      <alignment horizontal="center" vertical="center" wrapText="1"/>
      <protection locked="0"/>
    </xf>
    <xf numFmtId="3" fontId="20" fillId="0" borderId="21" xfId="5" applyNumberFormat="1" applyFont="1" applyFill="1" applyBorder="1" applyAlignment="1" applyProtection="1">
      <alignment horizontal="center" vertical="center" wrapText="1"/>
      <protection locked="0"/>
    </xf>
    <xf numFmtId="164" fontId="20" fillId="0" borderId="15" xfId="5" applyNumberFormat="1" applyFont="1" applyFill="1" applyBorder="1" applyAlignment="1" applyProtection="1">
      <alignment horizontal="center" vertical="center" wrapText="1"/>
      <protection locked="0"/>
    </xf>
    <xf numFmtId="164" fontId="20" fillId="0" borderId="15" xfId="5" applyNumberFormat="1" applyFont="1" applyFill="1" applyBorder="1" applyAlignment="1" applyProtection="1">
      <alignment horizontal="center" vertical="center" wrapText="1"/>
    </xf>
    <xf numFmtId="164" fontId="20" fillId="0" borderId="16" xfId="5" applyNumberFormat="1" applyFont="1" applyFill="1" applyBorder="1" applyAlignment="1" applyProtection="1">
      <alignment horizontal="center" vertical="center" wrapText="1"/>
    </xf>
    <xf numFmtId="166" fontId="20" fillId="0" borderId="0" xfId="1" applyNumberFormat="1" applyFont="1" applyFill="1"/>
    <xf numFmtId="166" fontId="15" fillId="0" borderId="0" xfId="1" applyNumberFormat="1" applyFont="1" applyFill="1" applyBorder="1"/>
    <xf numFmtId="0" fontId="8" fillId="2" borderId="0" xfId="0" applyFont="1" applyFill="1" applyBorder="1" applyAlignment="1">
      <alignment horizontal="center" wrapText="1"/>
    </xf>
    <xf numFmtId="0" fontId="28" fillId="2" borderId="57" xfId="0" applyFont="1" applyFill="1" applyBorder="1" applyAlignment="1">
      <alignment horizontal="center" vertical="center" wrapText="1"/>
    </xf>
    <xf numFmtId="0" fontId="40" fillId="2" borderId="25" xfId="0" applyFont="1" applyFill="1" applyBorder="1" applyAlignment="1">
      <alignment horizontal="center" vertical="center" wrapText="1"/>
    </xf>
    <xf numFmtId="3" fontId="28" fillId="2" borderId="31" xfId="0" applyNumberFormat="1" applyFont="1" applyFill="1" applyBorder="1" applyAlignment="1">
      <alignment horizontal="left" wrapText="1"/>
    </xf>
    <xf numFmtId="3" fontId="28" fillId="2" borderId="7" xfId="0" applyNumberFormat="1" applyFont="1" applyFill="1" applyBorder="1" applyAlignment="1">
      <alignment horizontal="left" wrapText="1"/>
    </xf>
    <xf numFmtId="3" fontId="28" fillId="2" borderId="68" xfId="0" applyNumberFormat="1" applyFont="1" applyFill="1" applyBorder="1" applyAlignment="1">
      <alignment horizontal="left" wrapText="1"/>
    </xf>
    <xf numFmtId="0" fontId="0" fillId="2" borderId="7" xfId="0" applyFont="1" applyFill="1" applyBorder="1" applyAlignment="1">
      <alignment horizontal="right"/>
    </xf>
    <xf numFmtId="0" fontId="11" fillId="2" borderId="7" xfId="0" applyFont="1" applyFill="1" applyBorder="1" applyAlignment="1">
      <alignment horizontal="right"/>
    </xf>
    <xf numFmtId="0" fontId="19" fillId="2" borderId="4" xfId="0" applyFont="1" applyFill="1" applyBorder="1" applyAlignment="1">
      <alignment horizontal="center" vertical="center"/>
    </xf>
    <xf numFmtId="0" fontId="39" fillId="2" borderId="6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wrapText="1"/>
    </xf>
    <xf numFmtId="0" fontId="39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5" fillId="0" borderId="0" xfId="0" applyFont="1" applyAlignment="1">
      <alignment horizontal="center"/>
    </xf>
    <xf numFmtId="0" fontId="52" fillId="0" borderId="22" xfId="0" applyFont="1" applyBorder="1" applyAlignment="1">
      <alignment horizontal="left" wrapText="1"/>
    </xf>
    <xf numFmtId="0" fontId="87" fillId="0" borderId="19" xfId="0" applyFont="1" applyBorder="1" applyAlignment="1">
      <alignment horizontal="left" wrapText="1"/>
    </xf>
    <xf numFmtId="0" fontId="15" fillId="2" borderId="8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8" xfId="0" applyFont="1" applyBorder="1" applyAlignment="1">
      <alignment vertical="center" wrapText="1"/>
    </xf>
    <xf numFmtId="0" fontId="66" fillId="0" borderId="12" xfId="0" applyFont="1" applyBorder="1" applyAlignment="1">
      <alignment horizontal="left"/>
    </xf>
    <xf numFmtId="0" fontId="66" fillId="0" borderId="71" xfId="0" applyFont="1" applyBorder="1" applyAlignment="1">
      <alignment horizontal="left"/>
    </xf>
    <xf numFmtId="0" fontId="66" fillId="0" borderId="37" xfId="0" applyFont="1" applyBorder="1" applyAlignment="1">
      <alignment horizontal="left"/>
    </xf>
    <xf numFmtId="0" fontId="16" fillId="0" borderId="35" xfId="0" applyFont="1" applyBorder="1" applyAlignment="1">
      <alignment horizontal="center" wrapText="1"/>
    </xf>
    <xf numFmtId="0" fontId="16" fillId="0" borderId="21" xfId="0" applyFont="1" applyBorder="1" applyAlignment="1">
      <alignment horizontal="center" wrapText="1"/>
    </xf>
    <xf numFmtId="0" fontId="16" fillId="0" borderId="48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0" fillId="0" borderId="22" xfId="0" applyFont="1" applyBorder="1" applyAlignment="1">
      <alignment horizontal="left" wrapText="1"/>
    </xf>
    <xf numFmtId="0" fontId="0" fillId="0" borderId="19" xfId="0" applyFont="1" applyBorder="1" applyAlignment="1">
      <alignment horizontal="left" wrapText="1"/>
    </xf>
    <xf numFmtId="0" fontId="13" fillId="0" borderId="23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3" fillId="0" borderId="11" xfId="0" applyFont="1" applyBorder="1" applyAlignment="1"/>
    <xf numFmtId="0" fontId="13" fillId="0" borderId="72" xfId="0" applyFont="1" applyBorder="1" applyAlignment="1"/>
    <xf numFmtId="0" fontId="13" fillId="0" borderId="36" xfId="0" applyFont="1" applyBorder="1" applyAlignment="1"/>
    <xf numFmtId="0" fontId="13" fillId="0" borderId="22" xfId="0" applyFont="1" applyBorder="1" applyAlignment="1">
      <alignment horizontal="left" wrapText="1"/>
    </xf>
    <xf numFmtId="0" fontId="13" fillId="0" borderId="19" xfId="0" applyFont="1" applyBorder="1" applyAlignment="1">
      <alignment horizontal="left" wrapText="1"/>
    </xf>
    <xf numFmtId="0" fontId="14" fillId="0" borderId="23" xfId="0" applyFont="1" applyBorder="1" applyAlignment="1"/>
    <xf numFmtId="0" fontId="14" fillId="0" borderId="13" xfId="0" applyFont="1" applyBorder="1" applyAlignment="1"/>
    <xf numFmtId="0" fontId="14" fillId="0" borderId="63" xfId="0" applyFont="1" applyBorder="1" applyAlignment="1">
      <alignment horizontal="left" wrapText="1"/>
    </xf>
    <xf numFmtId="0" fontId="14" fillId="0" borderId="18" xfId="0" applyFont="1" applyBorder="1" applyAlignment="1">
      <alignment horizontal="left" wrapText="1"/>
    </xf>
    <xf numFmtId="0" fontId="14" fillId="0" borderId="35" xfId="0" applyFont="1" applyBorder="1" applyAlignment="1">
      <alignment horizontal="left"/>
    </xf>
    <xf numFmtId="0" fontId="14" fillId="0" borderId="21" xfId="0" applyFont="1" applyBorder="1" applyAlignment="1">
      <alignment horizontal="left"/>
    </xf>
    <xf numFmtId="0" fontId="14" fillId="0" borderId="23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6" fillId="0" borderId="48" xfId="0" applyFont="1" applyBorder="1" applyAlignment="1">
      <alignment horizontal="center" wrapText="1"/>
    </xf>
    <xf numFmtId="0" fontId="16" fillId="0" borderId="32" xfId="0" applyFont="1" applyBorder="1" applyAlignment="1">
      <alignment horizontal="center" wrapText="1"/>
    </xf>
    <xf numFmtId="0" fontId="19" fillId="0" borderId="66" xfId="0" applyFont="1" applyBorder="1" applyAlignment="1">
      <alignment horizontal="center" vertical="center" wrapText="1"/>
    </xf>
    <xf numFmtId="0" fontId="39" fillId="0" borderId="68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9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15" fillId="0" borderId="57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/>
    <xf numFmtId="0" fontId="7" fillId="0" borderId="57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4" fillId="0" borderId="44" xfId="0" applyFont="1" applyBorder="1" applyAlignment="1">
      <alignment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49" fontId="7" fillId="2" borderId="13" xfId="5" applyNumberFormat="1" applyFont="1" applyFill="1" applyBorder="1" applyAlignment="1">
      <alignment horizontal="center" vertical="center" wrapText="1"/>
    </xf>
    <xf numFmtId="49" fontId="25" fillId="0" borderId="0" xfId="5" applyNumberFormat="1" applyFont="1" applyFill="1" applyBorder="1" applyAlignment="1">
      <alignment horizontal="center"/>
    </xf>
    <xf numFmtId="49" fontId="7" fillId="0" borderId="73" xfId="5" applyNumberFormat="1" applyFont="1" applyFill="1" applyBorder="1" applyAlignment="1">
      <alignment horizontal="center" vertical="center" wrapText="1"/>
    </xf>
    <xf numFmtId="49" fontId="7" fillId="0" borderId="74" xfId="5" applyNumberFormat="1" applyFont="1" applyFill="1" applyBorder="1" applyAlignment="1">
      <alignment horizontal="center" vertical="center" wrapText="1"/>
    </xf>
    <xf numFmtId="164" fontId="7" fillId="0" borderId="75" xfId="5" applyNumberFormat="1" applyFont="1" applyFill="1" applyBorder="1" applyAlignment="1">
      <alignment horizontal="center" vertical="center"/>
    </xf>
    <xf numFmtId="164" fontId="7" fillId="0" borderId="76" xfId="5" applyNumberFormat="1" applyFont="1" applyFill="1" applyBorder="1" applyAlignment="1">
      <alignment horizontal="center" vertical="center"/>
    </xf>
    <xf numFmtId="164" fontId="7" fillId="0" borderId="75" xfId="5" applyNumberFormat="1" applyFont="1" applyFill="1" applyBorder="1" applyAlignment="1">
      <alignment horizontal="center" vertical="center" wrapText="1"/>
    </xf>
    <xf numFmtId="164" fontId="7" fillId="4" borderId="75" xfId="5" applyNumberFormat="1" applyFont="1" applyFill="1" applyBorder="1" applyAlignment="1">
      <alignment horizontal="center" vertical="center" wrapText="1"/>
    </xf>
    <xf numFmtId="164" fontId="7" fillId="4" borderId="76" xfId="5" applyNumberFormat="1" applyFont="1" applyFill="1" applyBorder="1" applyAlignment="1">
      <alignment horizontal="center" vertical="center" wrapText="1"/>
    </xf>
    <xf numFmtId="164" fontId="7" fillId="0" borderId="77" xfId="5" applyNumberFormat="1" applyFont="1" applyFill="1" applyBorder="1" applyAlignment="1">
      <alignment horizontal="center" vertical="center"/>
    </xf>
    <xf numFmtId="164" fontId="7" fillId="0" borderId="78" xfId="5" applyNumberFormat="1" applyFont="1" applyFill="1" applyBorder="1" applyAlignment="1">
      <alignment horizontal="center" vertical="center"/>
    </xf>
    <xf numFmtId="164" fontId="7" fillId="0" borderId="79" xfId="5" applyNumberFormat="1" applyFont="1" applyFill="1" applyBorder="1" applyAlignment="1">
      <alignment horizontal="center" vertical="center"/>
    </xf>
    <xf numFmtId="0" fontId="15" fillId="0" borderId="9" xfId="4" applyFont="1" applyFill="1" applyBorder="1" applyAlignment="1" applyProtection="1">
      <alignment horizontal="left" vertical="center" wrapText="1"/>
    </xf>
    <xf numFmtId="0" fontId="15" fillId="0" borderId="41" xfId="4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0" fontId="15" fillId="0" borderId="49" xfId="4" applyFont="1" applyFill="1" applyBorder="1" applyAlignment="1" applyProtection="1">
      <alignment horizontal="left" vertical="center" wrapText="1"/>
    </xf>
    <xf numFmtId="164" fontId="15" fillId="0" borderId="0" xfId="4" applyNumberFormat="1" applyFont="1" applyFill="1" applyBorder="1" applyAlignment="1" applyProtection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35" fillId="0" borderId="0" xfId="0" applyNumberFormat="1" applyFont="1" applyFill="1" applyBorder="1" applyAlignment="1">
      <alignment horizontal="center" vertical="center" wrapText="1"/>
    </xf>
    <xf numFmtId="164" fontId="34" fillId="0" borderId="7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1" fillId="0" borderId="0" xfId="0" applyFont="1" applyAlignment="1">
      <alignment horizontal="center" wrapText="1"/>
    </xf>
    <xf numFmtId="0" fontId="5" fillId="2" borderId="7" xfId="0" applyFont="1" applyFill="1" applyBorder="1" applyAlignment="1">
      <alignment horizontal="right"/>
    </xf>
    <xf numFmtId="0" fontId="84" fillId="0" borderId="80" xfId="0" applyFont="1" applyFill="1" applyBorder="1" applyAlignment="1">
      <alignment horizontal="center"/>
    </xf>
    <xf numFmtId="0" fontId="84" fillId="0" borderId="81" xfId="0" applyFont="1" applyFill="1" applyBorder="1" applyAlignment="1">
      <alignment horizontal="center"/>
    </xf>
    <xf numFmtId="0" fontId="84" fillId="0" borderId="82" xfId="0" applyFont="1" applyFill="1" applyBorder="1" applyAlignment="1">
      <alignment horizontal="center"/>
    </xf>
    <xf numFmtId="0" fontId="84" fillId="0" borderId="26" xfId="0" applyFont="1" applyFill="1" applyBorder="1" applyAlignment="1">
      <alignment horizontal="center"/>
    </xf>
    <xf numFmtId="0" fontId="84" fillId="0" borderId="1" xfId="0" applyFont="1" applyFill="1" applyBorder="1" applyAlignment="1">
      <alignment horizontal="center"/>
    </xf>
    <xf numFmtId="0" fontId="84" fillId="0" borderId="66" xfId="0" applyFont="1" applyFill="1" applyBorder="1" applyAlignment="1">
      <alignment horizontal="center"/>
    </xf>
    <xf numFmtId="0" fontId="84" fillId="0" borderId="31" xfId="0" applyFont="1" applyFill="1" applyBorder="1" applyAlignment="1">
      <alignment horizontal="center"/>
    </xf>
    <xf numFmtId="0" fontId="84" fillId="0" borderId="7" xfId="0" applyFont="1" applyFill="1" applyBorder="1" applyAlignment="1">
      <alignment horizontal="center"/>
    </xf>
    <xf numFmtId="0" fontId="84" fillId="0" borderId="68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horizontal="left" vertical="center" wrapText="1"/>
    </xf>
    <xf numFmtId="0" fontId="42" fillId="0" borderId="0" xfId="0" applyFont="1" applyAlignment="1">
      <alignment horizontal="center"/>
    </xf>
    <xf numFmtId="3" fontId="43" fillId="0" borderId="0" xfId="0" applyNumberFormat="1" applyFont="1" applyAlignment="1">
      <alignment horizontal="left"/>
    </xf>
    <xf numFmtId="0" fontId="44" fillId="0" borderId="9" xfId="0" applyFont="1" applyBorder="1" applyAlignment="1">
      <alignment vertical="center" wrapText="1"/>
    </xf>
    <xf numFmtId="0" fontId="44" fillId="0" borderId="41" xfId="0" applyFont="1" applyBorder="1" applyAlignment="1">
      <alignment vertical="center" wrapText="1"/>
    </xf>
    <xf numFmtId="0" fontId="44" fillId="0" borderId="33" xfId="0" applyFont="1" applyBorder="1" applyAlignment="1">
      <alignment vertical="center" wrapText="1"/>
    </xf>
    <xf numFmtId="166" fontId="44" fillId="0" borderId="9" xfId="1" applyNumberFormat="1" applyFont="1" applyBorder="1" applyAlignment="1">
      <alignment horizontal="center"/>
    </xf>
    <xf numFmtId="166" fontId="44" fillId="0" borderId="33" xfId="1" applyNumberFormat="1" applyFont="1" applyBorder="1" applyAlignment="1">
      <alignment horizontal="center"/>
    </xf>
    <xf numFmtId="0" fontId="46" fillId="0" borderId="0" xfId="0" applyFont="1" applyAlignment="1">
      <alignment horizontal="center" vertical="center" wrapText="1"/>
    </xf>
    <xf numFmtId="0" fontId="3" fillId="0" borderId="56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44" fillId="0" borderId="7" xfId="0" applyFont="1" applyBorder="1" applyAlignment="1">
      <alignment horizontal="right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45" fillId="0" borderId="9" xfId="0" applyFont="1" applyBorder="1" applyAlignment="1">
      <alignment horizontal="center"/>
    </xf>
    <xf numFmtId="0" fontId="45" fillId="0" borderId="41" xfId="0" applyFont="1" applyBorder="1" applyAlignment="1">
      <alignment horizontal="center"/>
    </xf>
    <xf numFmtId="0" fontId="45" fillId="0" borderId="33" xfId="0" applyFont="1" applyBorder="1" applyAlignment="1">
      <alignment horizontal="center"/>
    </xf>
    <xf numFmtId="166" fontId="45" fillId="0" borderId="9" xfId="1" applyNumberFormat="1" applyFont="1" applyBorder="1" applyAlignment="1">
      <alignment horizontal="center"/>
    </xf>
    <xf numFmtId="166" fontId="45" fillId="0" borderId="33" xfId="1" applyNumberFormat="1" applyFont="1" applyBorder="1" applyAlignment="1">
      <alignment horizontal="center"/>
    </xf>
    <xf numFmtId="166" fontId="45" fillId="0" borderId="31" xfId="1" applyNumberFormat="1" applyFont="1" applyBorder="1" applyAlignment="1">
      <alignment horizontal="center"/>
    </xf>
    <xf numFmtId="166" fontId="45" fillId="0" borderId="68" xfId="1" applyNumberFormat="1" applyFont="1" applyBorder="1" applyAlignment="1">
      <alignment horizontal="center"/>
    </xf>
    <xf numFmtId="0" fontId="44" fillId="0" borderId="9" xfId="0" applyFont="1" applyBorder="1" applyAlignment="1">
      <alignment horizontal="left" vertical="center" wrapText="1"/>
    </xf>
    <xf numFmtId="0" fontId="44" fillId="0" borderId="41" xfId="0" applyFont="1" applyBorder="1" applyAlignment="1">
      <alignment horizontal="left" vertical="center" wrapText="1"/>
    </xf>
    <xf numFmtId="0" fontId="44" fillId="0" borderId="33" xfId="0" applyFont="1" applyBorder="1" applyAlignment="1">
      <alignment horizontal="left" vertical="center" wrapText="1"/>
    </xf>
    <xf numFmtId="0" fontId="92" fillId="0" borderId="41" xfId="4" applyFont="1" applyFill="1" applyBorder="1" applyAlignment="1">
      <alignment horizontal="center" wrapText="1"/>
    </xf>
    <xf numFmtId="0" fontId="92" fillId="0" borderId="33" xfId="4" applyFont="1" applyFill="1" applyBorder="1" applyAlignment="1">
      <alignment horizontal="center" wrapText="1"/>
    </xf>
    <xf numFmtId="0" fontId="90" fillId="0" borderId="9" xfId="0" applyFont="1" applyBorder="1" applyAlignment="1">
      <alignment horizontal="left" wrapText="1"/>
    </xf>
    <xf numFmtId="0" fontId="90" fillId="0" borderId="41" xfId="0" applyFont="1" applyBorder="1" applyAlignment="1">
      <alignment horizontal="left" wrapText="1"/>
    </xf>
    <xf numFmtId="0" fontId="90" fillId="0" borderId="33" xfId="0" applyFont="1" applyBorder="1" applyAlignment="1">
      <alignment horizontal="left" wrapText="1"/>
    </xf>
    <xf numFmtId="164" fontId="35" fillId="0" borderId="0" xfId="4" applyNumberFormat="1" applyFont="1" applyFill="1" applyBorder="1" applyAlignment="1" applyProtection="1">
      <alignment horizontal="center" vertical="center" wrapText="1"/>
    </xf>
    <xf numFmtId="0" fontId="56" fillId="0" borderId="7" xfId="3" applyFont="1" applyFill="1" applyBorder="1" applyAlignment="1" applyProtection="1">
      <alignment horizontal="right"/>
    </xf>
    <xf numFmtId="0" fontId="57" fillId="0" borderId="7" xfId="3" applyFont="1" applyFill="1" applyBorder="1" applyAlignment="1" applyProtection="1">
      <alignment horizontal="right"/>
    </xf>
    <xf numFmtId="0" fontId="58" fillId="0" borderId="17" xfId="4" applyFont="1" applyFill="1" applyBorder="1" applyAlignment="1">
      <alignment horizontal="center" vertical="center" wrapText="1"/>
    </xf>
    <xf numFmtId="0" fontId="58" fillId="0" borderId="52" xfId="4" applyFont="1" applyFill="1" applyBorder="1" applyAlignment="1">
      <alignment horizontal="center" vertical="center" wrapText="1"/>
    </xf>
    <xf numFmtId="0" fontId="58" fillId="0" borderId="20" xfId="4" applyFont="1" applyFill="1" applyBorder="1" applyAlignment="1">
      <alignment horizontal="center" vertical="center" wrapText="1"/>
    </xf>
    <xf numFmtId="0" fontId="58" fillId="0" borderId="64" xfId="4" applyFont="1" applyFill="1" applyBorder="1" applyAlignment="1">
      <alignment horizontal="center" vertical="center" wrapText="1"/>
    </xf>
    <xf numFmtId="0" fontId="58" fillId="0" borderId="84" xfId="4" applyFont="1" applyFill="1" applyBorder="1" applyAlignment="1">
      <alignment horizontal="center" vertical="center" wrapText="1"/>
    </xf>
    <xf numFmtId="0" fontId="58" fillId="0" borderId="1" xfId="4" applyFont="1" applyFill="1" applyBorder="1" applyAlignment="1">
      <alignment horizontal="center" vertical="center" wrapText="1"/>
    </xf>
    <xf numFmtId="0" fontId="58" fillId="0" borderId="69" xfId="4" applyFont="1" applyFill="1" applyBorder="1" applyAlignment="1">
      <alignment horizontal="center" vertical="center" wrapText="1"/>
    </xf>
    <xf numFmtId="0" fontId="58" fillId="0" borderId="28" xfId="4" applyFont="1" applyFill="1" applyBorder="1" applyAlignment="1">
      <alignment horizontal="center" vertical="center" wrapText="1"/>
    </xf>
    <xf numFmtId="0" fontId="58" fillId="0" borderId="65" xfId="4" applyFont="1" applyFill="1" applyBorder="1" applyAlignment="1">
      <alignment horizontal="center" vertical="center" wrapText="1"/>
    </xf>
    <xf numFmtId="164" fontId="83" fillId="0" borderId="0" xfId="4" applyNumberFormat="1" applyFont="1" applyFill="1" applyBorder="1" applyAlignment="1" applyProtection="1">
      <alignment horizontal="center" vertical="center" wrapText="1"/>
    </xf>
    <xf numFmtId="0" fontId="89" fillId="0" borderId="9" xfId="4" applyFont="1" applyFill="1" applyBorder="1" applyAlignment="1" applyProtection="1">
      <alignment horizontal="center" vertical="center" wrapText="1"/>
    </xf>
    <xf numFmtId="0" fontId="89" fillId="0" borderId="41" xfId="4" applyFont="1" applyFill="1" applyBorder="1" applyAlignment="1" applyProtection="1">
      <alignment horizontal="center" vertical="center" wrapText="1"/>
    </xf>
    <xf numFmtId="0" fontId="89" fillId="0" borderId="33" xfId="4" applyFont="1" applyFill="1" applyBorder="1" applyAlignment="1" applyProtection="1">
      <alignment horizontal="center" vertical="center" wrapText="1"/>
    </xf>
    <xf numFmtId="0" fontId="91" fillId="0" borderId="85" xfId="4" applyFont="1" applyFill="1" applyBorder="1" applyAlignment="1">
      <alignment horizontal="center" wrapText="1"/>
    </xf>
    <xf numFmtId="0" fontId="91" fillId="0" borderId="60" xfId="4" applyFont="1" applyFill="1" applyBorder="1" applyAlignment="1">
      <alignment horizontal="center" wrapText="1"/>
    </xf>
    <xf numFmtId="0" fontId="90" fillId="0" borderId="41" xfId="4" applyFont="1" applyFill="1" applyBorder="1" applyAlignment="1">
      <alignment horizontal="center" wrapText="1"/>
    </xf>
    <xf numFmtId="0" fontId="90" fillId="0" borderId="33" xfId="4" applyFont="1" applyFill="1" applyBorder="1" applyAlignment="1">
      <alignment horizontal="center" wrapText="1"/>
    </xf>
    <xf numFmtId="0" fontId="69" fillId="0" borderId="14" xfId="4" applyFont="1" applyFill="1" applyBorder="1" applyAlignment="1" applyProtection="1">
      <alignment horizontal="left"/>
    </xf>
    <xf numFmtId="0" fontId="69" fillId="0" borderId="15" xfId="4" applyFont="1" applyFill="1" applyBorder="1" applyAlignment="1" applyProtection="1">
      <alignment horizontal="left"/>
    </xf>
    <xf numFmtId="0" fontId="69" fillId="0" borderId="9" xfId="4" applyFont="1" applyFill="1" applyBorder="1" applyAlignment="1">
      <alignment horizontal="center" wrapText="1"/>
    </xf>
    <xf numFmtId="0" fontId="69" fillId="0" borderId="33" xfId="4" applyFont="1" applyFill="1" applyBorder="1" applyAlignment="1">
      <alignment horizontal="center" wrapText="1"/>
    </xf>
    <xf numFmtId="0" fontId="69" fillId="0" borderId="9" xfId="4" applyFont="1" applyFill="1" applyBorder="1" applyAlignment="1">
      <alignment horizontal="center"/>
    </xf>
    <xf numFmtId="0" fontId="69" fillId="0" borderId="41" xfId="4" applyFont="1" applyFill="1" applyBorder="1" applyAlignment="1">
      <alignment horizontal="center"/>
    </xf>
    <xf numFmtId="3" fontId="28" fillId="0" borderId="14" xfId="0" applyNumberFormat="1" applyFont="1" applyFill="1" applyBorder="1"/>
    <xf numFmtId="166" fontId="14" fillId="0" borderId="44" xfId="2" applyNumberFormat="1" applyFont="1" applyFill="1" applyBorder="1"/>
    <xf numFmtId="0" fontId="14" fillId="0" borderId="80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49" fontId="14" fillId="0" borderId="44" xfId="0" applyNumberFormat="1" applyFont="1" applyBorder="1" applyAlignment="1">
      <alignment horizontal="center"/>
    </xf>
    <xf numFmtId="0" fontId="14" fillId="0" borderId="81" xfId="0" applyFont="1" applyBorder="1"/>
    <xf numFmtId="0" fontId="14" fillId="0" borderId="72" xfId="0" applyFont="1" applyBorder="1"/>
    <xf numFmtId="0" fontId="14" fillId="0" borderId="72" xfId="0" applyFont="1" applyFill="1" applyBorder="1"/>
    <xf numFmtId="0" fontId="14" fillId="0" borderId="85" xfId="0" applyFont="1" applyBorder="1" applyAlignment="1">
      <alignment wrapText="1"/>
    </xf>
    <xf numFmtId="166" fontId="14" fillId="2" borderId="57" xfId="1" applyNumberFormat="1" applyFont="1" applyFill="1" applyBorder="1" applyAlignment="1">
      <alignment horizontal="center" vertical="center"/>
    </xf>
    <xf numFmtId="0" fontId="96" fillId="0" borderId="0" xfId="0" applyFont="1" applyAlignment="1">
      <alignment horizontal="center" vertical="center" wrapText="1"/>
    </xf>
    <xf numFmtId="0" fontId="33" fillId="0" borderId="14" xfId="4" applyFont="1" applyFill="1" applyBorder="1" applyAlignment="1">
      <alignment horizontal="center" vertical="center"/>
    </xf>
    <xf numFmtId="0" fontId="58" fillId="0" borderId="15" xfId="4" applyFont="1" applyFill="1" applyBorder="1"/>
    <xf numFmtId="166" fontId="58" fillId="0" borderId="15" xfId="4" applyNumberFormat="1" applyFont="1" applyFill="1" applyBorder="1"/>
    <xf numFmtId="166" fontId="58" fillId="0" borderId="16" xfId="4" applyNumberFormat="1" applyFont="1" applyFill="1" applyBorder="1"/>
    <xf numFmtId="166" fontId="30" fillId="0" borderId="8" xfId="1" applyNumberFormat="1" applyFont="1" applyFill="1" applyBorder="1" applyAlignment="1" applyProtection="1">
      <alignment horizontal="center" vertical="center" wrapText="1"/>
    </xf>
  </cellXfs>
  <cellStyles count="7">
    <cellStyle name="Ezres" xfId="1" builtinId="3"/>
    <cellStyle name="Ezres 2" xfId="2"/>
    <cellStyle name="Ezres 2 2" xfId="6"/>
    <cellStyle name="Normál" xfId="0" builtinId="0"/>
    <cellStyle name="Normál_Adósságotkeletkeztető1" xfId="3"/>
    <cellStyle name="Normál_KVRENMUNKA" xfId="4"/>
    <cellStyle name="Normál_rendelet mellékletei (1)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470535</xdr:colOff>
      <xdr:row>8</xdr:row>
      <xdr:rowOff>139065</xdr:rowOff>
    </xdr:from>
    <xdr:ext cx="184731" cy="264560"/>
    <xdr:sp macro="" textlink="">
      <xdr:nvSpPr>
        <xdr:cNvPr id="2" name="Szövegdoboz 1"/>
        <xdr:cNvSpPr txBox="1"/>
      </xdr:nvSpPr>
      <xdr:spPr>
        <a:xfrm>
          <a:off x="115592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9</xdr:row>
      <xdr:rowOff>139065</xdr:rowOff>
    </xdr:from>
    <xdr:ext cx="184731" cy="264560"/>
    <xdr:sp macro="" textlink="">
      <xdr:nvSpPr>
        <xdr:cNvPr id="3" name="Szövegdoboz 2"/>
        <xdr:cNvSpPr txBox="1"/>
      </xdr:nvSpPr>
      <xdr:spPr>
        <a:xfrm>
          <a:off x="12257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10</xdr:row>
      <xdr:rowOff>139065</xdr:rowOff>
    </xdr:from>
    <xdr:ext cx="184731" cy="264560"/>
    <xdr:sp macro="" textlink="">
      <xdr:nvSpPr>
        <xdr:cNvPr id="4" name="Szövegdoboz 3"/>
        <xdr:cNvSpPr txBox="1"/>
      </xdr:nvSpPr>
      <xdr:spPr>
        <a:xfrm>
          <a:off x="12257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11</xdr:row>
      <xdr:rowOff>139065</xdr:rowOff>
    </xdr:from>
    <xdr:ext cx="184731" cy="264560"/>
    <xdr:sp macro="" textlink="">
      <xdr:nvSpPr>
        <xdr:cNvPr id="5" name="Szövegdoboz 4"/>
        <xdr:cNvSpPr txBox="1"/>
      </xdr:nvSpPr>
      <xdr:spPr>
        <a:xfrm>
          <a:off x="12257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12</xdr:row>
      <xdr:rowOff>139065</xdr:rowOff>
    </xdr:from>
    <xdr:ext cx="184731" cy="264560"/>
    <xdr:sp macro="" textlink="">
      <xdr:nvSpPr>
        <xdr:cNvPr id="6" name="Szövegdoboz 5"/>
        <xdr:cNvSpPr txBox="1"/>
      </xdr:nvSpPr>
      <xdr:spPr>
        <a:xfrm>
          <a:off x="12257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13</xdr:row>
      <xdr:rowOff>139065</xdr:rowOff>
    </xdr:from>
    <xdr:ext cx="184731" cy="264560"/>
    <xdr:sp macro="" textlink="">
      <xdr:nvSpPr>
        <xdr:cNvPr id="7" name="Szövegdoboz 6"/>
        <xdr:cNvSpPr txBox="1"/>
      </xdr:nvSpPr>
      <xdr:spPr>
        <a:xfrm>
          <a:off x="12257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14</xdr:row>
      <xdr:rowOff>139065</xdr:rowOff>
    </xdr:from>
    <xdr:ext cx="184731" cy="264560"/>
    <xdr:sp macro="" textlink="">
      <xdr:nvSpPr>
        <xdr:cNvPr id="8" name="Szövegdoboz 7"/>
        <xdr:cNvSpPr txBox="1"/>
      </xdr:nvSpPr>
      <xdr:spPr>
        <a:xfrm>
          <a:off x="12257723" y="162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15</xdr:row>
      <xdr:rowOff>139065</xdr:rowOff>
    </xdr:from>
    <xdr:ext cx="184731" cy="264560"/>
    <xdr:sp macro="" textlink="">
      <xdr:nvSpPr>
        <xdr:cNvPr id="9" name="Szövegdoboz 8"/>
        <xdr:cNvSpPr txBox="1"/>
      </xdr:nvSpPr>
      <xdr:spPr>
        <a:xfrm>
          <a:off x="12257723" y="388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16</xdr:row>
      <xdr:rowOff>139065</xdr:rowOff>
    </xdr:from>
    <xdr:ext cx="184731" cy="264560"/>
    <xdr:sp macro="" textlink="">
      <xdr:nvSpPr>
        <xdr:cNvPr id="10" name="Szövegdoboz 9"/>
        <xdr:cNvSpPr txBox="1"/>
      </xdr:nvSpPr>
      <xdr:spPr>
        <a:xfrm>
          <a:off x="12257723" y="459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17</xdr:row>
      <xdr:rowOff>139065</xdr:rowOff>
    </xdr:from>
    <xdr:ext cx="184731" cy="264560"/>
    <xdr:sp macro="" textlink="">
      <xdr:nvSpPr>
        <xdr:cNvPr id="11" name="Szövegdoboz 10"/>
        <xdr:cNvSpPr txBox="1"/>
      </xdr:nvSpPr>
      <xdr:spPr>
        <a:xfrm>
          <a:off x="12257723" y="459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18</xdr:row>
      <xdr:rowOff>139065</xdr:rowOff>
    </xdr:from>
    <xdr:ext cx="184731" cy="264560"/>
    <xdr:sp macro="" textlink="">
      <xdr:nvSpPr>
        <xdr:cNvPr id="12" name="Szövegdoboz 11"/>
        <xdr:cNvSpPr txBox="1"/>
      </xdr:nvSpPr>
      <xdr:spPr>
        <a:xfrm>
          <a:off x="12257723" y="459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19</xdr:row>
      <xdr:rowOff>139065</xdr:rowOff>
    </xdr:from>
    <xdr:ext cx="184731" cy="264560"/>
    <xdr:sp macro="" textlink="">
      <xdr:nvSpPr>
        <xdr:cNvPr id="13" name="Szövegdoboz 12"/>
        <xdr:cNvSpPr txBox="1"/>
      </xdr:nvSpPr>
      <xdr:spPr>
        <a:xfrm>
          <a:off x="12257723" y="459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20</xdr:row>
      <xdr:rowOff>139065</xdr:rowOff>
    </xdr:from>
    <xdr:ext cx="184731" cy="264560"/>
    <xdr:sp macro="" textlink="">
      <xdr:nvSpPr>
        <xdr:cNvPr id="14" name="Szövegdoboz 13"/>
        <xdr:cNvSpPr txBox="1"/>
      </xdr:nvSpPr>
      <xdr:spPr>
        <a:xfrm>
          <a:off x="12257723" y="459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21</xdr:row>
      <xdr:rowOff>139065</xdr:rowOff>
    </xdr:from>
    <xdr:ext cx="184731" cy="264560"/>
    <xdr:sp macro="" textlink="">
      <xdr:nvSpPr>
        <xdr:cNvPr id="15" name="Szövegdoboz 14"/>
        <xdr:cNvSpPr txBox="1"/>
      </xdr:nvSpPr>
      <xdr:spPr>
        <a:xfrm>
          <a:off x="12257723" y="459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22</xdr:row>
      <xdr:rowOff>139065</xdr:rowOff>
    </xdr:from>
    <xdr:ext cx="184731" cy="264560"/>
    <xdr:sp macro="" textlink="">
      <xdr:nvSpPr>
        <xdr:cNvPr id="16" name="Szövegdoboz 15"/>
        <xdr:cNvSpPr txBox="1"/>
      </xdr:nvSpPr>
      <xdr:spPr>
        <a:xfrm>
          <a:off x="12257723" y="459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23</xdr:row>
      <xdr:rowOff>139065</xdr:rowOff>
    </xdr:from>
    <xdr:ext cx="184731" cy="264560"/>
    <xdr:sp macro="" textlink="">
      <xdr:nvSpPr>
        <xdr:cNvPr id="17" name="Szövegdoboz 16"/>
        <xdr:cNvSpPr txBox="1"/>
      </xdr:nvSpPr>
      <xdr:spPr>
        <a:xfrm>
          <a:off x="12257723" y="459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24</xdr:row>
      <xdr:rowOff>139065</xdr:rowOff>
    </xdr:from>
    <xdr:ext cx="184731" cy="264560"/>
    <xdr:sp macro="" textlink="">
      <xdr:nvSpPr>
        <xdr:cNvPr id="18" name="Szövegdoboz 17"/>
        <xdr:cNvSpPr txBox="1"/>
      </xdr:nvSpPr>
      <xdr:spPr>
        <a:xfrm>
          <a:off x="12257723" y="459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25</xdr:row>
      <xdr:rowOff>139065</xdr:rowOff>
    </xdr:from>
    <xdr:ext cx="184731" cy="264560"/>
    <xdr:sp macro="" textlink="">
      <xdr:nvSpPr>
        <xdr:cNvPr id="19" name="Szövegdoboz 18"/>
        <xdr:cNvSpPr txBox="1"/>
      </xdr:nvSpPr>
      <xdr:spPr>
        <a:xfrm>
          <a:off x="12257723" y="459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26</xdr:row>
      <xdr:rowOff>139065</xdr:rowOff>
    </xdr:from>
    <xdr:ext cx="184731" cy="264560"/>
    <xdr:sp macro="" textlink="">
      <xdr:nvSpPr>
        <xdr:cNvPr id="20" name="Szövegdoboz 19"/>
        <xdr:cNvSpPr txBox="1"/>
      </xdr:nvSpPr>
      <xdr:spPr>
        <a:xfrm>
          <a:off x="12257723" y="459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27</xdr:row>
      <xdr:rowOff>139065</xdr:rowOff>
    </xdr:from>
    <xdr:ext cx="184731" cy="264560"/>
    <xdr:sp macro="" textlink="">
      <xdr:nvSpPr>
        <xdr:cNvPr id="21" name="Szövegdoboz 20"/>
        <xdr:cNvSpPr txBox="1"/>
      </xdr:nvSpPr>
      <xdr:spPr>
        <a:xfrm>
          <a:off x="12257723" y="459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28</xdr:row>
      <xdr:rowOff>139065</xdr:rowOff>
    </xdr:from>
    <xdr:ext cx="184731" cy="264560"/>
    <xdr:sp macro="" textlink="">
      <xdr:nvSpPr>
        <xdr:cNvPr id="22" name="Szövegdoboz 21"/>
        <xdr:cNvSpPr txBox="1"/>
      </xdr:nvSpPr>
      <xdr:spPr>
        <a:xfrm>
          <a:off x="12257723" y="459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29</xdr:row>
      <xdr:rowOff>139065</xdr:rowOff>
    </xdr:from>
    <xdr:ext cx="184731" cy="264560"/>
    <xdr:sp macro="" textlink="">
      <xdr:nvSpPr>
        <xdr:cNvPr id="23" name="Szövegdoboz 22"/>
        <xdr:cNvSpPr txBox="1"/>
      </xdr:nvSpPr>
      <xdr:spPr>
        <a:xfrm>
          <a:off x="12257723" y="459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30</xdr:row>
      <xdr:rowOff>139065</xdr:rowOff>
    </xdr:from>
    <xdr:ext cx="184731" cy="264560"/>
    <xdr:sp macro="" textlink="">
      <xdr:nvSpPr>
        <xdr:cNvPr id="24" name="Szövegdoboz 23"/>
        <xdr:cNvSpPr txBox="1"/>
      </xdr:nvSpPr>
      <xdr:spPr>
        <a:xfrm>
          <a:off x="12257723" y="459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31</xdr:row>
      <xdr:rowOff>139065</xdr:rowOff>
    </xdr:from>
    <xdr:ext cx="184731" cy="264560"/>
    <xdr:sp macro="" textlink="">
      <xdr:nvSpPr>
        <xdr:cNvPr id="25" name="Szövegdoboz 24"/>
        <xdr:cNvSpPr txBox="1"/>
      </xdr:nvSpPr>
      <xdr:spPr>
        <a:xfrm>
          <a:off x="12257723" y="459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15</xdr:col>
      <xdr:colOff>470535</xdr:colOff>
      <xdr:row>32</xdr:row>
      <xdr:rowOff>139065</xdr:rowOff>
    </xdr:from>
    <xdr:ext cx="184731" cy="264560"/>
    <xdr:sp macro="" textlink="">
      <xdr:nvSpPr>
        <xdr:cNvPr id="26" name="Szövegdoboz 25"/>
        <xdr:cNvSpPr txBox="1"/>
      </xdr:nvSpPr>
      <xdr:spPr>
        <a:xfrm>
          <a:off x="12257723" y="4599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opLeftCell="A32" zoomScaleNormal="100" workbookViewId="0">
      <selection activeCell="C13" sqref="C13"/>
    </sheetView>
  </sheetViews>
  <sheetFormatPr defaultRowHeight="14.25" x14ac:dyDescent="0.2"/>
  <cols>
    <col min="1" max="1" width="37.85546875" style="136" customWidth="1"/>
    <col min="2" max="2" width="17.140625" style="136" customWidth="1"/>
    <col min="3" max="3" width="15.28515625" style="136" customWidth="1"/>
    <col min="4" max="4" width="13.85546875" style="136" customWidth="1"/>
    <col min="5" max="7" width="13.42578125" style="136" customWidth="1"/>
    <col min="8" max="8" width="18" style="136" customWidth="1"/>
    <col min="9" max="9" width="17" style="152" customWidth="1"/>
    <col min="10" max="10" width="17.140625" style="191" bestFit="1" customWidth="1"/>
  </cols>
  <sheetData>
    <row r="1" spans="1:10" ht="37.5" customHeight="1" x14ac:dyDescent="0.25">
      <c r="A1" s="857" t="s">
        <v>382</v>
      </c>
      <c r="B1" s="857"/>
      <c r="C1" s="857"/>
      <c r="D1" s="857"/>
      <c r="E1" s="857"/>
      <c r="F1" s="857"/>
      <c r="G1" s="857"/>
      <c r="H1" s="857"/>
      <c r="I1" s="857"/>
    </row>
    <row r="2" spans="1:10" ht="15" x14ac:dyDescent="0.25">
      <c r="A2" s="148"/>
      <c r="B2" s="148"/>
      <c r="C2" s="148"/>
      <c r="D2" s="148"/>
      <c r="E2" s="148"/>
      <c r="F2" s="148"/>
      <c r="G2" s="148"/>
      <c r="H2" s="148"/>
      <c r="I2" s="149"/>
    </row>
    <row r="3" spans="1:10" ht="15" x14ac:dyDescent="0.25">
      <c r="A3" s="148"/>
      <c r="B3" s="148"/>
      <c r="C3" s="148"/>
      <c r="D3" s="148"/>
      <c r="E3" s="148"/>
      <c r="F3" s="148"/>
      <c r="G3" s="148"/>
      <c r="H3" s="148"/>
      <c r="I3" s="149"/>
      <c r="J3" s="250"/>
    </row>
    <row r="4" spans="1:10" ht="18.75" customHeight="1" thickBot="1" x14ac:dyDescent="0.25">
      <c r="A4" s="192"/>
      <c r="B4" s="192"/>
      <c r="C4" s="192"/>
      <c r="D4" s="456"/>
      <c r="E4" s="456"/>
      <c r="F4" s="456"/>
      <c r="G4" s="456"/>
      <c r="H4" s="863" t="s">
        <v>383</v>
      </c>
      <c r="I4" s="864"/>
      <c r="J4" s="250"/>
    </row>
    <row r="5" spans="1:10" s="84" customFormat="1" ht="12" customHeight="1" x14ac:dyDescent="0.2">
      <c r="A5" s="865" t="s">
        <v>186</v>
      </c>
      <c r="B5" s="867" t="s">
        <v>474</v>
      </c>
      <c r="C5" s="867" t="s">
        <v>475</v>
      </c>
      <c r="D5" s="867" t="s">
        <v>476</v>
      </c>
      <c r="E5" s="867" t="s">
        <v>477</v>
      </c>
      <c r="F5" s="867" t="s">
        <v>478</v>
      </c>
      <c r="G5" s="867" t="s">
        <v>479</v>
      </c>
      <c r="H5" s="858" t="s">
        <v>480</v>
      </c>
      <c r="I5" s="858" t="s">
        <v>481</v>
      </c>
      <c r="J5" s="144"/>
    </row>
    <row r="6" spans="1:10" s="84" customFormat="1" ht="51" customHeight="1" thickBot="1" x14ac:dyDescent="0.25">
      <c r="A6" s="866"/>
      <c r="B6" s="868"/>
      <c r="C6" s="868"/>
      <c r="D6" s="868"/>
      <c r="E6" s="868"/>
      <c r="F6" s="868"/>
      <c r="G6" s="868"/>
      <c r="H6" s="859"/>
      <c r="I6" s="859"/>
      <c r="J6" s="144"/>
    </row>
    <row r="7" spans="1:10" s="84" customFormat="1" ht="33.75" customHeight="1" thickBot="1" x14ac:dyDescent="0.3">
      <c r="A7" s="496" t="s">
        <v>148</v>
      </c>
      <c r="B7" s="272">
        <f>B8+B16</f>
        <v>685350210</v>
      </c>
      <c r="C7" s="272">
        <f>C8+C16+C15</f>
        <v>740821582</v>
      </c>
      <c r="D7" s="272">
        <f t="shared" ref="D7:G7" si="0">D8+D16</f>
        <v>0</v>
      </c>
      <c r="E7" s="272">
        <f t="shared" si="0"/>
        <v>0</v>
      </c>
      <c r="F7" s="272">
        <f>F8+F16</f>
        <v>0</v>
      </c>
      <c r="G7" s="272">
        <f t="shared" si="0"/>
        <v>0</v>
      </c>
      <c r="H7" s="272">
        <f>F7+D7+B7</f>
        <v>685350210</v>
      </c>
      <c r="I7" s="495">
        <f>G7+E7+C7</f>
        <v>740821582</v>
      </c>
      <c r="J7" s="144"/>
    </row>
    <row r="8" spans="1:10" s="84" customFormat="1" ht="33.75" customHeight="1" x14ac:dyDescent="0.25">
      <c r="A8" s="271" t="s">
        <v>153</v>
      </c>
      <c r="B8" s="494">
        <f>SUM(B9:B13)</f>
        <v>259361470</v>
      </c>
      <c r="C8" s="494">
        <f>SUM(C9:C13)</f>
        <v>373130009</v>
      </c>
      <c r="D8" s="494">
        <f t="shared" ref="D8:G8" si="1">SUM(D9:D13)</f>
        <v>0</v>
      </c>
      <c r="E8" s="494">
        <f t="shared" si="1"/>
        <v>0</v>
      </c>
      <c r="F8" s="494">
        <f t="shared" si="1"/>
        <v>0</v>
      </c>
      <c r="G8" s="494">
        <f t="shared" si="1"/>
        <v>0</v>
      </c>
      <c r="H8" s="494">
        <f t="shared" ref="H8:I33" si="2">F8+D8+B8</f>
        <v>259361470</v>
      </c>
      <c r="I8" s="747">
        <f t="shared" si="2"/>
        <v>373130009</v>
      </c>
      <c r="J8" s="144"/>
    </row>
    <row r="9" spans="1:10" s="84" customFormat="1" ht="36" customHeight="1" x14ac:dyDescent="0.25">
      <c r="A9" s="488" t="s">
        <v>149</v>
      </c>
      <c r="B9" s="273">
        <v>177396538</v>
      </c>
      <c r="C9" s="273">
        <v>198871743</v>
      </c>
      <c r="D9" s="490">
        <v>0</v>
      </c>
      <c r="E9" s="274"/>
      <c r="F9" s="274">
        <v>0</v>
      </c>
      <c r="G9" s="308"/>
      <c r="H9" s="494">
        <f t="shared" si="2"/>
        <v>177396538</v>
      </c>
      <c r="I9" s="747">
        <f t="shared" si="2"/>
        <v>198871743</v>
      </c>
      <c r="J9" s="144"/>
    </row>
    <row r="10" spans="1:10" s="84" customFormat="1" ht="46.5" customHeight="1" x14ac:dyDescent="0.25">
      <c r="A10" s="488" t="s">
        <v>326</v>
      </c>
      <c r="B10" s="275">
        <v>70985134</v>
      </c>
      <c r="C10" s="275">
        <v>81546278</v>
      </c>
      <c r="D10" s="490">
        <v>0</v>
      </c>
      <c r="E10" s="274"/>
      <c r="F10" s="274">
        <v>0</v>
      </c>
      <c r="G10" s="308"/>
      <c r="H10" s="269">
        <f t="shared" si="2"/>
        <v>70985134</v>
      </c>
      <c r="I10" s="501">
        <f t="shared" si="2"/>
        <v>81546278</v>
      </c>
      <c r="J10" s="144"/>
    </row>
    <row r="11" spans="1:10" s="84" customFormat="1" ht="40.5" customHeight="1" x14ac:dyDescent="0.25">
      <c r="A11" s="488" t="s">
        <v>150</v>
      </c>
      <c r="B11" s="275">
        <v>9484313</v>
      </c>
      <c r="C11" s="275">
        <v>11453260</v>
      </c>
      <c r="D11" s="491">
        <v>0</v>
      </c>
      <c r="E11" s="276"/>
      <c r="F11" s="276">
        <v>0</v>
      </c>
      <c r="G11" s="309"/>
      <c r="H11" s="269">
        <f t="shared" si="2"/>
        <v>9484313</v>
      </c>
      <c r="I11" s="501">
        <f t="shared" si="2"/>
        <v>11453260</v>
      </c>
      <c r="J11" s="144"/>
    </row>
    <row r="12" spans="1:10" s="84" customFormat="1" ht="51.75" customHeight="1" x14ac:dyDescent="0.25">
      <c r="A12" s="488" t="s">
        <v>152</v>
      </c>
      <c r="B12" s="275">
        <v>1495485</v>
      </c>
      <c r="C12" s="275">
        <v>81258728</v>
      </c>
      <c r="D12" s="491">
        <v>0</v>
      </c>
      <c r="E12" s="276"/>
      <c r="F12" s="276">
        <v>0</v>
      </c>
      <c r="G12" s="309"/>
      <c r="H12" s="269">
        <f t="shared" si="2"/>
        <v>1495485</v>
      </c>
      <c r="I12" s="501">
        <f t="shared" si="2"/>
        <v>81258728</v>
      </c>
      <c r="J12" s="144"/>
    </row>
    <row r="13" spans="1:10" s="84" customFormat="1" ht="66" customHeight="1" x14ac:dyDescent="0.25">
      <c r="A13" s="488" t="s">
        <v>151</v>
      </c>
      <c r="B13" s="275"/>
      <c r="C13" s="275"/>
      <c r="D13" s="491">
        <v>0</v>
      </c>
      <c r="E13" s="276"/>
      <c r="F13" s="276">
        <v>0</v>
      </c>
      <c r="G13" s="309"/>
      <c r="H13" s="269">
        <f t="shared" si="2"/>
        <v>0</v>
      </c>
      <c r="I13" s="501">
        <f t="shared" si="2"/>
        <v>0</v>
      </c>
      <c r="J13" s="144"/>
    </row>
    <row r="14" spans="1:10" s="233" customFormat="1" ht="66" customHeight="1" x14ac:dyDescent="0.25">
      <c r="A14" s="489" t="s">
        <v>345</v>
      </c>
      <c r="B14" s="493">
        <v>0</v>
      </c>
      <c r="C14" s="493"/>
      <c r="D14" s="492">
        <v>0</v>
      </c>
      <c r="E14" s="278"/>
      <c r="F14" s="278">
        <v>0</v>
      </c>
      <c r="G14" s="310"/>
      <c r="H14" s="413">
        <f t="shared" si="2"/>
        <v>0</v>
      </c>
      <c r="I14" s="501">
        <f t="shared" si="2"/>
        <v>0</v>
      </c>
      <c r="J14" s="232"/>
    </row>
    <row r="15" spans="1:10" s="233" customFormat="1" ht="66" customHeight="1" x14ac:dyDescent="0.25">
      <c r="A15" s="489" t="s">
        <v>411</v>
      </c>
      <c r="B15" s="277">
        <v>0</v>
      </c>
      <c r="C15" s="277"/>
      <c r="D15" s="492"/>
      <c r="E15" s="278"/>
      <c r="F15" s="278"/>
      <c r="G15" s="310"/>
      <c r="H15" s="589"/>
      <c r="I15" s="501">
        <f t="shared" si="2"/>
        <v>0</v>
      </c>
      <c r="J15" s="232"/>
    </row>
    <row r="16" spans="1:10" s="233" customFormat="1" ht="58.5" customHeight="1" thickBot="1" x14ac:dyDescent="0.3">
      <c r="A16" s="756" t="s">
        <v>287</v>
      </c>
      <c r="B16" s="757">
        <v>425988740</v>
      </c>
      <c r="C16" s="757">
        <v>367691573</v>
      </c>
      <c r="D16" s="758"/>
      <c r="E16" s="292"/>
      <c r="F16" s="292"/>
      <c r="G16" s="759"/>
      <c r="H16" s="750">
        <f t="shared" si="2"/>
        <v>425988740</v>
      </c>
      <c r="I16" s="751">
        <f t="shared" si="2"/>
        <v>367691573</v>
      </c>
      <c r="J16" s="232"/>
    </row>
    <row r="17" spans="1:17" s="235" customFormat="1" ht="41.25" customHeight="1" thickBot="1" x14ac:dyDescent="0.3">
      <c r="A17" s="270" t="s">
        <v>154</v>
      </c>
      <c r="B17" s="753">
        <f t="shared" ref="B17:G17" si="3">SUM(B18:B19)</f>
        <v>1626784871</v>
      </c>
      <c r="C17" s="754">
        <f>SUM(C18:C19)</f>
        <v>274060762</v>
      </c>
      <c r="D17" s="754">
        <f t="shared" si="3"/>
        <v>0</v>
      </c>
      <c r="E17" s="754">
        <f t="shared" si="3"/>
        <v>0</v>
      </c>
      <c r="F17" s="754">
        <f t="shared" si="3"/>
        <v>0</v>
      </c>
      <c r="G17" s="754">
        <f t="shared" si="3"/>
        <v>0</v>
      </c>
      <c r="H17" s="754">
        <f t="shared" si="2"/>
        <v>1626784871</v>
      </c>
      <c r="I17" s="755">
        <f t="shared" si="2"/>
        <v>274060762</v>
      </c>
      <c r="J17" s="234"/>
    </row>
    <row r="18" spans="1:17" s="84" customFormat="1" ht="43.5" x14ac:dyDescent="0.25">
      <c r="A18" s="271" t="s">
        <v>238</v>
      </c>
      <c r="B18" s="273">
        <v>60074999</v>
      </c>
      <c r="C18" s="273">
        <v>67002639</v>
      </c>
      <c r="D18" s="274">
        <v>0</v>
      </c>
      <c r="E18" s="274"/>
      <c r="F18" s="274">
        <v>0</v>
      </c>
      <c r="G18" s="274"/>
      <c r="H18" s="494">
        <f t="shared" si="2"/>
        <v>60074999</v>
      </c>
      <c r="I18" s="494">
        <f t="shared" si="2"/>
        <v>67002639</v>
      </c>
      <c r="J18" s="144"/>
    </row>
    <row r="19" spans="1:17" s="84" customFormat="1" ht="48.75" customHeight="1" thickBot="1" x14ac:dyDescent="0.3">
      <c r="A19" s="497" t="s">
        <v>155</v>
      </c>
      <c r="B19" s="280">
        <v>1566709872</v>
      </c>
      <c r="C19" s="280">
        <v>207058123</v>
      </c>
      <c r="D19" s="281">
        <v>0</v>
      </c>
      <c r="E19" s="281"/>
      <c r="F19" s="281">
        <v>0</v>
      </c>
      <c r="G19" s="281"/>
      <c r="H19" s="279">
        <f t="shared" si="2"/>
        <v>1566709872</v>
      </c>
      <c r="I19" s="279">
        <f>G19+E19+C19</f>
        <v>207058123</v>
      </c>
      <c r="J19" s="144"/>
    </row>
    <row r="20" spans="1:17" s="194" customFormat="1" ht="45" customHeight="1" thickBot="1" x14ac:dyDescent="0.3">
      <c r="A20" s="496" t="s">
        <v>141</v>
      </c>
      <c r="B20" s="762">
        <f t="shared" ref="B20:G20" si="4">B22+B23+B26+B21</f>
        <v>75799224</v>
      </c>
      <c r="C20" s="762">
        <f t="shared" si="4"/>
        <v>75522000</v>
      </c>
      <c r="D20" s="762">
        <f t="shared" si="4"/>
        <v>0</v>
      </c>
      <c r="E20" s="762">
        <f t="shared" si="4"/>
        <v>0</v>
      </c>
      <c r="F20" s="762">
        <f t="shared" si="4"/>
        <v>0</v>
      </c>
      <c r="G20" s="762">
        <f t="shared" si="4"/>
        <v>0</v>
      </c>
      <c r="H20" s="272">
        <f t="shared" si="2"/>
        <v>75799224</v>
      </c>
      <c r="I20" s="495">
        <f t="shared" si="2"/>
        <v>75522000</v>
      </c>
      <c r="J20" s="193"/>
    </row>
    <row r="21" spans="1:17" s="194" customFormat="1" ht="45" customHeight="1" x14ac:dyDescent="0.25">
      <c r="A21" s="560" t="s">
        <v>384</v>
      </c>
      <c r="B21" s="769">
        <v>0</v>
      </c>
      <c r="C21" s="770"/>
      <c r="D21" s="770">
        <v>0</v>
      </c>
      <c r="E21" s="770"/>
      <c r="F21" s="770">
        <v>0</v>
      </c>
      <c r="G21" s="770"/>
      <c r="H21" s="499">
        <f t="shared" si="2"/>
        <v>0</v>
      </c>
      <c r="I21" s="500"/>
      <c r="J21" s="193"/>
    </row>
    <row r="22" spans="1:17" s="233" customFormat="1" ht="36" customHeight="1" x14ac:dyDescent="0.25">
      <c r="A22" s="561" t="s">
        <v>142</v>
      </c>
      <c r="B22" s="771">
        <v>12227766</v>
      </c>
      <c r="C22" s="760">
        <v>12230000</v>
      </c>
      <c r="D22" s="761">
        <v>0</v>
      </c>
      <c r="E22" s="761"/>
      <c r="F22" s="761">
        <v>0</v>
      </c>
      <c r="G22" s="761"/>
      <c r="H22" s="494">
        <f t="shared" si="2"/>
        <v>12227766</v>
      </c>
      <c r="I22" s="747">
        <f t="shared" si="2"/>
        <v>12230000</v>
      </c>
      <c r="J22" s="232"/>
    </row>
    <row r="23" spans="1:17" s="233" customFormat="1" ht="46.5" customHeight="1" x14ac:dyDescent="0.25">
      <c r="A23" s="561" t="s">
        <v>143</v>
      </c>
      <c r="B23" s="282">
        <f t="shared" ref="B23:C23" si="5">SUM(B24:B25)</f>
        <v>60342093</v>
      </c>
      <c r="C23" s="282">
        <f t="shared" si="5"/>
        <v>61000000</v>
      </c>
      <c r="D23" s="282">
        <f>SUM(D24:D25)</f>
        <v>0</v>
      </c>
      <c r="E23" s="282">
        <f>SUM(E24:E25)</f>
        <v>0</v>
      </c>
      <c r="F23" s="282">
        <v>0</v>
      </c>
      <c r="G23" s="282">
        <f>SUM(G24:G25)</f>
        <v>0</v>
      </c>
      <c r="H23" s="269">
        <f t="shared" si="2"/>
        <v>60342093</v>
      </c>
      <c r="I23" s="501">
        <f t="shared" si="2"/>
        <v>61000000</v>
      </c>
      <c r="J23" s="232"/>
    </row>
    <row r="24" spans="1:17" s="233" customFormat="1" ht="67.5" customHeight="1" x14ac:dyDescent="0.25">
      <c r="A24" s="562" t="s">
        <v>144</v>
      </c>
      <c r="B24" s="772">
        <v>60266857</v>
      </c>
      <c r="C24" s="282">
        <v>61000000</v>
      </c>
      <c r="D24" s="498">
        <v>0</v>
      </c>
      <c r="E24" s="498"/>
      <c r="F24" s="498">
        <v>0</v>
      </c>
      <c r="G24" s="498"/>
      <c r="H24" s="269">
        <f t="shared" si="2"/>
        <v>60266857</v>
      </c>
      <c r="I24" s="501">
        <f t="shared" si="2"/>
        <v>61000000</v>
      </c>
      <c r="J24" s="232"/>
    </row>
    <row r="25" spans="1:17" s="84" customFormat="1" ht="24.75" customHeight="1" thickBot="1" x14ac:dyDescent="0.3">
      <c r="A25" s="562" t="s">
        <v>145</v>
      </c>
      <c r="B25" s="584">
        <v>75236</v>
      </c>
      <c r="C25" s="586"/>
      <c r="D25" s="289">
        <v>0</v>
      </c>
      <c r="E25" s="289"/>
      <c r="F25" s="289">
        <v>0</v>
      </c>
      <c r="G25" s="289"/>
      <c r="H25" s="750">
        <f t="shared" si="2"/>
        <v>75236</v>
      </c>
      <c r="I25" s="751">
        <f t="shared" si="2"/>
        <v>0</v>
      </c>
      <c r="J25" s="144"/>
    </row>
    <row r="26" spans="1:17" s="233" customFormat="1" ht="44.25" thickBot="1" x14ac:dyDescent="0.3">
      <c r="A26" s="563" t="s">
        <v>467</v>
      </c>
      <c r="B26" s="763">
        <v>3229365</v>
      </c>
      <c r="C26" s="764">
        <v>2292000</v>
      </c>
      <c r="D26" s="765">
        <v>0</v>
      </c>
      <c r="E26" s="765"/>
      <c r="F26" s="766">
        <v>0</v>
      </c>
      <c r="G26" s="766"/>
      <c r="H26" s="767">
        <f t="shared" si="2"/>
        <v>3229365</v>
      </c>
      <c r="I26" s="768">
        <f t="shared" si="2"/>
        <v>2292000</v>
      </c>
      <c r="J26" s="232"/>
    </row>
    <row r="27" spans="1:17" s="84" customFormat="1" ht="38.25" customHeight="1" thickBot="1" x14ac:dyDescent="0.3">
      <c r="A27" s="270" t="s">
        <v>146</v>
      </c>
      <c r="B27" s="1048">
        <v>87093525</v>
      </c>
      <c r="C27" s="272">
        <v>102616144</v>
      </c>
      <c r="D27" s="272">
        <v>226477</v>
      </c>
      <c r="E27" s="272">
        <v>213500</v>
      </c>
      <c r="F27" s="272">
        <v>649899</v>
      </c>
      <c r="G27" s="272">
        <v>713000</v>
      </c>
      <c r="H27" s="272">
        <f t="shared" si="2"/>
        <v>87969901</v>
      </c>
      <c r="I27" s="495">
        <f t="shared" si="2"/>
        <v>103542644</v>
      </c>
      <c r="J27" s="144"/>
    </row>
    <row r="28" spans="1:17" ht="32.25" customHeight="1" thickBot="1" x14ac:dyDescent="0.3">
      <c r="A28" s="270" t="s">
        <v>147</v>
      </c>
      <c r="B28" s="752">
        <v>41484647</v>
      </c>
      <c r="C28" s="272">
        <v>30000000</v>
      </c>
      <c r="D28" s="502">
        <v>102063</v>
      </c>
      <c r="E28" s="502"/>
      <c r="F28" s="502"/>
      <c r="G28" s="502"/>
      <c r="H28" s="272"/>
      <c r="I28" s="495">
        <f t="shared" si="2"/>
        <v>30000000</v>
      </c>
      <c r="J28" s="250"/>
    </row>
    <row r="29" spans="1:17" ht="32.25" customHeight="1" thickBot="1" x14ac:dyDescent="0.3">
      <c r="A29" s="270" t="s">
        <v>165</v>
      </c>
      <c r="B29" s="752">
        <v>7398997</v>
      </c>
      <c r="C29" s="272">
        <v>30951155</v>
      </c>
      <c r="D29" s="502">
        <v>0</v>
      </c>
      <c r="E29" s="502"/>
      <c r="F29" s="502"/>
      <c r="G29" s="503"/>
      <c r="H29" s="272">
        <f t="shared" si="2"/>
        <v>7398997</v>
      </c>
      <c r="I29" s="495">
        <f t="shared" si="2"/>
        <v>30951155</v>
      </c>
      <c r="J29" s="250"/>
    </row>
    <row r="30" spans="1:17" s="84" customFormat="1" ht="48.75" customHeight="1" thickBot="1" x14ac:dyDescent="0.3">
      <c r="A30" s="270" t="s">
        <v>156</v>
      </c>
      <c r="B30" s="752">
        <v>0</v>
      </c>
      <c r="C30" s="272">
        <f t="shared" ref="C30:G30" si="6">SUM(C31:C32)</f>
        <v>0</v>
      </c>
      <c r="D30" s="272">
        <f t="shared" si="6"/>
        <v>0</v>
      </c>
      <c r="E30" s="272">
        <f t="shared" si="6"/>
        <v>0</v>
      </c>
      <c r="F30" s="272">
        <f t="shared" si="6"/>
        <v>0</v>
      </c>
      <c r="G30" s="272">
        <f t="shared" si="6"/>
        <v>0</v>
      </c>
      <c r="H30" s="272">
        <f t="shared" si="2"/>
        <v>0</v>
      </c>
      <c r="I30" s="495">
        <f t="shared" si="2"/>
        <v>0</v>
      </c>
      <c r="J30" s="144"/>
    </row>
    <row r="31" spans="1:17" s="84" customFormat="1" ht="63.75" customHeight="1" x14ac:dyDescent="0.25">
      <c r="A31" s="742" t="s">
        <v>349</v>
      </c>
      <c r="B31" s="743">
        <v>0</v>
      </c>
      <c r="C31" s="743"/>
      <c r="D31" s="744">
        <v>0</v>
      </c>
      <c r="E31" s="744"/>
      <c r="F31" s="744"/>
      <c r="G31" s="745"/>
      <c r="H31" s="499">
        <f t="shared" si="2"/>
        <v>0</v>
      </c>
      <c r="I31" s="500">
        <f t="shared" si="2"/>
        <v>0</v>
      </c>
      <c r="J31" s="144"/>
      <c r="Q31" s="487"/>
    </row>
    <row r="32" spans="1:17" s="84" customFormat="1" ht="48.75" customHeight="1" x14ac:dyDescent="0.25">
      <c r="A32" s="746" t="s">
        <v>350</v>
      </c>
      <c r="B32" s="275">
        <v>0</v>
      </c>
      <c r="C32" s="275"/>
      <c r="D32" s="276">
        <v>0</v>
      </c>
      <c r="E32" s="276"/>
      <c r="F32" s="276"/>
      <c r="G32" s="308"/>
      <c r="H32" s="269">
        <f t="shared" si="2"/>
        <v>0</v>
      </c>
      <c r="I32" s="747">
        <f t="shared" si="2"/>
        <v>0</v>
      </c>
      <c r="J32" s="144"/>
    </row>
    <row r="33" spans="1:10" s="94" customFormat="1" ht="40.5" customHeight="1" thickBot="1" x14ac:dyDescent="0.3">
      <c r="A33" s="284" t="s">
        <v>166</v>
      </c>
      <c r="B33" s="748">
        <f>B7+B17+B20+B30+B29+B27+B28</f>
        <v>2523911474</v>
      </c>
      <c r="C33" s="748">
        <f t="shared" ref="C33:G33" si="7">C7+C17+C20+C30+C29+C27+C28</f>
        <v>1253971643</v>
      </c>
      <c r="D33" s="748">
        <f t="shared" si="7"/>
        <v>328540</v>
      </c>
      <c r="E33" s="748">
        <f t="shared" si="7"/>
        <v>213500</v>
      </c>
      <c r="F33" s="748">
        <f t="shared" si="7"/>
        <v>649899</v>
      </c>
      <c r="G33" s="749">
        <f t="shared" si="7"/>
        <v>713000</v>
      </c>
      <c r="H33" s="750">
        <f t="shared" si="2"/>
        <v>2524889913</v>
      </c>
      <c r="I33" s="751">
        <f t="shared" si="2"/>
        <v>1254898143</v>
      </c>
      <c r="J33" s="457"/>
    </row>
    <row r="34" spans="1:10" s="94" customFormat="1" ht="21.75" customHeight="1" thickBot="1" x14ac:dyDescent="0.3">
      <c r="A34" s="860" t="s">
        <v>164</v>
      </c>
      <c r="B34" s="861"/>
      <c r="C34" s="861"/>
      <c r="D34" s="861"/>
      <c r="E34" s="861"/>
      <c r="F34" s="861"/>
      <c r="G34" s="861"/>
      <c r="H34" s="861"/>
      <c r="I34" s="862"/>
      <c r="J34" s="457"/>
    </row>
    <row r="35" spans="1:10" ht="46.5" customHeight="1" thickBot="1" x14ac:dyDescent="0.3">
      <c r="A35" s="285" t="s">
        <v>163</v>
      </c>
      <c r="B35" s="283">
        <f>B36</f>
        <v>889710136</v>
      </c>
      <c r="C35" s="590">
        <f>C36</f>
        <v>237735023</v>
      </c>
      <c r="D35" s="283">
        <f t="shared" ref="D35:G35" si="8">D36+D44</f>
        <v>128539636</v>
      </c>
      <c r="E35" s="283">
        <f t="shared" si="8"/>
        <v>154228760</v>
      </c>
      <c r="F35" s="283">
        <f t="shared" si="8"/>
        <v>11532470</v>
      </c>
      <c r="G35" s="283">
        <f t="shared" si="8"/>
        <v>13310234</v>
      </c>
      <c r="H35" s="150">
        <f>H36</f>
        <v>1029782242</v>
      </c>
      <c r="I35" s="150">
        <f>I36</f>
        <v>405274017</v>
      </c>
      <c r="J35" s="250"/>
    </row>
    <row r="36" spans="1:10" s="112" customFormat="1" ht="33" customHeight="1" thickBot="1" x14ac:dyDescent="0.3">
      <c r="A36" s="516" t="s">
        <v>157</v>
      </c>
      <c r="B36" s="508">
        <f>B37+B40+B45+B44+B43</f>
        <v>889710136</v>
      </c>
      <c r="C36" s="508">
        <f>C37+C40+C45+C44+C43</f>
        <v>237735023</v>
      </c>
      <c r="D36" s="286">
        <f t="shared" ref="D36:G36" si="9">D37+D40+D45+D43</f>
        <v>128539636</v>
      </c>
      <c r="E36" s="286">
        <f t="shared" si="9"/>
        <v>154228760</v>
      </c>
      <c r="F36" s="286">
        <f>F37+F40+F45+F43</f>
        <v>11532470</v>
      </c>
      <c r="G36" s="509">
        <f t="shared" si="9"/>
        <v>13310234</v>
      </c>
      <c r="H36" s="505">
        <f>D36+B36+F36</f>
        <v>1029782242</v>
      </c>
      <c r="I36" s="506">
        <f>E36+C36+G36</f>
        <v>405274017</v>
      </c>
      <c r="J36" s="236"/>
    </row>
    <row r="37" spans="1:10" ht="33" customHeight="1" thickBot="1" x14ac:dyDescent="0.3">
      <c r="A37" s="293" t="s">
        <v>158</v>
      </c>
      <c r="B37" s="515">
        <f t="shared" ref="B37:G37" si="10">SUM(B38:B39)</f>
        <v>73445443</v>
      </c>
      <c r="C37" s="515">
        <f t="shared" si="10"/>
        <v>50000000</v>
      </c>
      <c r="D37" s="287">
        <f t="shared" si="10"/>
        <v>0</v>
      </c>
      <c r="E37" s="287">
        <f t="shared" si="10"/>
        <v>0</v>
      </c>
      <c r="F37" s="287">
        <f t="shared" si="10"/>
        <v>0</v>
      </c>
      <c r="G37" s="511">
        <f t="shared" si="10"/>
        <v>0</v>
      </c>
      <c r="H37" s="504">
        <f t="shared" ref="H37:I45" si="11">D37+B37+F37</f>
        <v>73445443</v>
      </c>
      <c r="I37" s="731">
        <f t="shared" si="11"/>
        <v>50000000</v>
      </c>
      <c r="J37" s="564"/>
    </row>
    <row r="38" spans="1:10" ht="33" customHeight="1" thickBot="1" x14ac:dyDescent="0.3">
      <c r="A38" s="517" t="s">
        <v>288</v>
      </c>
      <c r="B38" s="510">
        <v>55893016</v>
      </c>
      <c r="C38" s="287">
        <v>10000000</v>
      </c>
      <c r="D38" s="287"/>
      <c r="E38" s="287"/>
      <c r="F38" s="288">
        <v>0</v>
      </c>
      <c r="G38" s="512"/>
      <c r="H38" s="504">
        <f t="shared" si="11"/>
        <v>55893016</v>
      </c>
      <c r="I38" s="731">
        <f t="shared" si="11"/>
        <v>10000000</v>
      </c>
      <c r="J38" s="250"/>
    </row>
    <row r="39" spans="1:10" ht="33" customHeight="1" thickBot="1" x14ac:dyDescent="0.3">
      <c r="A39" s="507" t="s">
        <v>527</v>
      </c>
      <c r="B39" s="510">
        <v>17552427</v>
      </c>
      <c r="C39" s="287">
        <v>40000000</v>
      </c>
      <c r="D39" s="287">
        <v>0</v>
      </c>
      <c r="E39" s="287"/>
      <c r="F39" s="288">
        <v>0</v>
      </c>
      <c r="G39" s="512"/>
      <c r="H39" s="504">
        <f t="shared" si="11"/>
        <v>17552427</v>
      </c>
      <c r="I39" s="231">
        <f t="shared" si="11"/>
        <v>40000000</v>
      </c>
      <c r="J39" s="250"/>
    </row>
    <row r="40" spans="1:10" s="112" customFormat="1" ht="33" customHeight="1" thickBot="1" x14ac:dyDescent="0.3">
      <c r="A40" s="740" t="s">
        <v>159</v>
      </c>
      <c r="B40" s="739">
        <v>786991433</v>
      </c>
      <c r="C40" s="498">
        <f>SUM(C41:C42)</f>
        <v>176060172</v>
      </c>
      <c r="D40" s="498">
        <v>179466</v>
      </c>
      <c r="E40" s="498"/>
      <c r="F40" s="498">
        <v>87571</v>
      </c>
      <c r="G40" s="738">
        <f>SUM(G41:G42)+G44</f>
        <v>0</v>
      </c>
      <c r="H40" s="150">
        <f>D40+B40+F40</f>
        <v>787258470</v>
      </c>
      <c r="I40" s="231">
        <f>E40+C40+G40</f>
        <v>176060172</v>
      </c>
      <c r="J40" s="236"/>
    </row>
    <row r="41" spans="1:10" s="237" customFormat="1" ht="33" customHeight="1" thickBot="1" x14ac:dyDescent="0.3">
      <c r="A41" s="507" t="s">
        <v>161</v>
      </c>
      <c r="B41" s="583"/>
      <c r="C41" s="786">
        <v>128861334</v>
      </c>
      <c r="D41" s="585"/>
      <c r="E41" s="290"/>
      <c r="F41" s="291">
        <v>0</v>
      </c>
      <c r="G41" s="513"/>
      <c r="H41" s="504">
        <f t="shared" si="11"/>
        <v>0</v>
      </c>
      <c r="I41" s="231">
        <f t="shared" si="11"/>
        <v>128861334</v>
      </c>
      <c r="J41" s="458"/>
    </row>
    <row r="42" spans="1:10" ht="36.75" customHeight="1" thickBot="1" x14ac:dyDescent="0.3">
      <c r="A42" s="507" t="s">
        <v>160</v>
      </c>
      <c r="B42" s="584"/>
      <c r="C42" s="586">
        <v>47198838</v>
      </c>
      <c r="D42" s="586"/>
      <c r="E42" s="289"/>
      <c r="F42" s="292">
        <v>0</v>
      </c>
      <c r="G42" s="514"/>
      <c r="H42" s="504">
        <f>D42+B42+F42</f>
        <v>0</v>
      </c>
      <c r="I42" s="150">
        <f t="shared" si="11"/>
        <v>47198838</v>
      </c>
      <c r="J42" s="564"/>
    </row>
    <row r="43" spans="1:10" s="112" customFormat="1" ht="36.75" customHeight="1" thickBot="1" x14ac:dyDescent="0.3">
      <c r="A43" s="740" t="s">
        <v>290</v>
      </c>
      <c r="B43" s="353">
        <v>0</v>
      </c>
      <c r="C43" s="354"/>
      <c r="D43" s="353">
        <v>0</v>
      </c>
      <c r="E43" s="354"/>
      <c r="F43" s="351">
        <v>0</v>
      </c>
      <c r="G43" s="352"/>
      <c r="H43" s="150">
        <f>D43+B43+F43</f>
        <v>0</v>
      </c>
      <c r="I43" s="150">
        <f t="shared" si="11"/>
        <v>0</v>
      </c>
      <c r="J43" s="236"/>
    </row>
    <row r="44" spans="1:10" s="112" customFormat="1" ht="36.75" customHeight="1" thickBot="1" x14ac:dyDescent="0.3">
      <c r="A44" s="740" t="s">
        <v>327</v>
      </c>
      <c r="B44" s="741">
        <v>29273260</v>
      </c>
      <c r="C44" s="354">
        <v>11674851</v>
      </c>
      <c r="D44" s="353">
        <v>0</v>
      </c>
      <c r="E44" s="354"/>
      <c r="F44" s="351">
        <v>0</v>
      </c>
      <c r="G44" s="352"/>
      <c r="H44" s="150">
        <f>D44+B44+F44</f>
        <v>29273260</v>
      </c>
      <c r="I44" s="150">
        <f>E44+C44+G44</f>
        <v>11674851</v>
      </c>
      <c r="J44" s="236"/>
    </row>
    <row r="45" spans="1:10" ht="33" customHeight="1" thickBot="1" x14ac:dyDescent="0.3">
      <c r="A45" s="293" t="s">
        <v>162</v>
      </c>
      <c r="B45" s="294">
        <v>0</v>
      </c>
      <c r="C45" s="295"/>
      <c r="D45" s="294">
        <v>128360170</v>
      </c>
      <c r="E45" s="295">
        <v>154228760</v>
      </c>
      <c r="F45" s="296">
        <v>11444899</v>
      </c>
      <c r="G45" s="297">
        <v>13310234</v>
      </c>
      <c r="H45" s="150">
        <f t="shared" si="11"/>
        <v>139805069</v>
      </c>
      <c r="I45" s="150">
        <f t="shared" si="11"/>
        <v>167538994</v>
      </c>
      <c r="J45" s="250"/>
    </row>
    <row r="46" spans="1:10" x14ac:dyDescent="0.2">
      <c r="H46" s="151"/>
    </row>
    <row r="47" spans="1:10" x14ac:dyDescent="0.2">
      <c r="I47" s="153"/>
    </row>
    <row r="48" spans="1:10" x14ac:dyDescent="0.2">
      <c r="B48" s="151"/>
      <c r="C48" s="151"/>
      <c r="I48" s="153"/>
    </row>
    <row r="49" spans="3:9" ht="12.75" x14ac:dyDescent="0.2">
      <c r="C49" s="151"/>
      <c r="D49" s="151"/>
      <c r="E49" s="151"/>
      <c r="F49" s="151"/>
      <c r="G49" s="151"/>
      <c r="H49" s="151"/>
      <c r="I49" s="151"/>
    </row>
    <row r="50" spans="3:9" x14ac:dyDescent="0.2">
      <c r="C50" s="151"/>
    </row>
  </sheetData>
  <mergeCells count="12">
    <mergeCell ref="A1:I1"/>
    <mergeCell ref="H5:H6"/>
    <mergeCell ref="I5:I6"/>
    <mergeCell ref="A34:I34"/>
    <mergeCell ref="H4:I4"/>
    <mergeCell ref="A5:A6"/>
    <mergeCell ref="B5:B6"/>
    <mergeCell ref="C5:C6"/>
    <mergeCell ref="D5:D6"/>
    <mergeCell ref="E5:E6"/>
    <mergeCell ref="F5:F6"/>
    <mergeCell ref="G5:G6"/>
  </mergeCells>
  <phoneticPr fontId="39" type="noConversion"/>
  <pageMargins left="0.98425196850393704" right="0.19685039370078741" top="0.47244094488188981" bottom="0.39370078740157483" header="0.51181102362204722" footer="0.51181102362204722"/>
  <pageSetup paperSize="9" scale="55" orientation="portrait" r:id="rId1"/>
  <headerFooter alignWithMargins="0">
    <oddHeader>&amp;R2.sz. melléklet
..../2021.(II.15.) Egyek Önk.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2:S39"/>
  <sheetViews>
    <sheetView topLeftCell="A13" zoomScaleNormal="100" workbookViewId="0">
      <selection activeCell="C21" sqref="C21"/>
    </sheetView>
  </sheetViews>
  <sheetFormatPr defaultRowHeight="12.75" x14ac:dyDescent="0.2"/>
  <cols>
    <col min="1" max="1" width="40.7109375" customWidth="1"/>
    <col min="2" max="2" width="16.28515625" bestFit="1" customWidth="1"/>
    <col min="3" max="3" width="20.140625" customWidth="1"/>
    <col min="4" max="4" width="16.7109375" customWidth="1"/>
    <col min="5" max="5" width="14.7109375" customWidth="1"/>
    <col min="6" max="6" width="15.5703125" customWidth="1"/>
    <col min="7" max="7" width="14.7109375" customWidth="1"/>
    <col min="8" max="8" width="18.7109375" customWidth="1"/>
    <col min="9" max="9" width="17.85546875" customWidth="1"/>
    <col min="10" max="10" width="11.7109375" customWidth="1"/>
    <col min="11" max="11" width="14.85546875" customWidth="1"/>
  </cols>
  <sheetData>
    <row r="2" spans="1:19" ht="26.25" customHeight="1" x14ac:dyDescent="0.25">
      <c r="A2" s="911" t="s">
        <v>491</v>
      </c>
      <c r="B2" s="911"/>
      <c r="C2" s="911"/>
      <c r="D2" s="911"/>
      <c r="E2" s="911"/>
      <c r="F2" s="911"/>
      <c r="G2" s="911"/>
      <c r="H2" s="911"/>
      <c r="I2" s="911"/>
      <c r="J2" s="226"/>
      <c r="K2" s="226"/>
      <c r="L2" s="25"/>
      <c r="M2" s="25"/>
      <c r="N2" s="25"/>
      <c r="O2" s="25"/>
      <c r="P2" s="25"/>
      <c r="Q2" s="25"/>
      <c r="R2" s="25"/>
      <c r="S2" s="25"/>
    </row>
    <row r="3" spans="1:19" ht="15.75" x14ac:dyDescent="0.25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5"/>
      <c r="M3" s="25"/>
      <c r="N3" s="25"/>
      <c r="O3" s="25"/>
      <c r="P3" s="25"/>
      <c r="Q3" s="25"/>
      <c r="R3" s="25"/>
      <c r="S3" s="25"/>
    </row>
    <row r="4" spans="1:19" ht="15.75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5"/>
      <c r="M4" s="25"/>
      <c r="N4" s="25"/>
      <c r="O4" s="25"/>
      <c r="P4" s="25"/>
      <c r="Q4" s="25"/>
      <c r="R4" s="25"/>
      <c r="S4" s="25"/>
    </row>
    <row r="5" spans="1:19" ht="16.5" thickBot="1" x14ac:dyDescent="0.3">
      <c r="A5" s="25"/>
      <c r="B5" s="25"/>
      <c r="C5" s="25"/>
      <c r="D5" s="25"/>
      <c r="E5" s="25"/>
      <c r="F5" s="25"/>
      <c r="G5" s="25"/>
      <c r="H5" s="30"/>
      <c r="I5" s="565" t="s">
        <v>387</v>
      </c>
      <c r="J5" s="30"/>
      <c r="K5" s="30"/>
      <c r="L5" s="25"/>
      <c r="M5" s="25"/>
      <c r="N5" s="25"/>
      <c r="O5" s="25"/>
      <c r="P5" s="25"/>
      <c r="Q5" s="25"/>
      <c r="R5" s="25"/>
      <c r="S5" s="25"/>
    </row>
    <row r="6" spans="1:19" ht="16.5" thickBot="1" x14ac:dyDescent="0.3">
      <c r="A6" s="29"/>
      <c r="B6" s="141"/>
      <c r="C6" s="141"/>
      <c r="D6" s="912" t="s">
        <v>101</v>
      </c>
      <c r="E6" s="913"/>
      <c r="F6" s="913"/>
      <c r="G6" s="913"/>
      <c r="H6" s="913"/>
      <c r="I6" s="914"/>
      <c r="J6" s="87"/>
      <c r="K6" s="87"/>
      <c r="L6" s="25"/>
      <c r="M6" s="25"/>
      <c r="N6" s="25"/>
      <c r="O6" s="25"/>
      <c r="P6" s="25"/>
      <c r="Q6" s="25"/>
      <c r="R6" s="25"/>
      <c r="S6" s="25"/>
    </row>
    <row r="7" spans="1:19" ht="12.75" customHeight="1" x14ac:dyDescent="0.2">
      <c r="A7" s="915" t="s">
        <v>187</v>
      </c>
      <c r="B7" s="909" t="s">
        <v>492</v>
      </c>
      <c r="C7" s="907" t="s">
        <v>493</v>
      </c>
      <c r="D7" s="909" t="s">
        <v>494</v>
      </c>
      <c r="E7" s="907" t="s">
        <v>495</v>
      </c>
      <c r="F7" s="909" t="s">
        <v>496</v>
      </c>
      <c r="G7" s="909" t="s">
        <v>497</v>
      </c>
      <c r="H7" s="909" t="s">
        <v>492</v>
      </c>
      <c r="I7" s="907" t="s">
        <v>493</v>
      </c>
      <c r="J7" s="24"/>
    </row>
    <row r="8" spans="1:19" ht="43.5" customHeight="1" thickBot="1" x14ac:dyDescent="0.25">
      <c r="A8" s="916"/>
      <c r="B8" s="910"/>
      <c r="C8" s="908"/>
      <c r="D8" s="910"/>
      <c r="E8" s="908"/>
      <c r="F8" s="910"/>
      <c r="G8" s="910"/>
      <c r="H8" s="910"/>
      <c r="I8" s="908"/>
      <c r="J8" s="128"/>
    </row>
    <row r="9" spans="1:19" ht="21" customHeight="1" thickBot="1" x14ac:dyDescent="0.25">
      <c r="A9" s="85" t="s">
        <v>188</v>
      </c>
      <c r="B9" s="416">
        <v>346822788</v>
      </c>
      <c r="C9" s="179">
        <v>324246987</v>
      </c>
      <c r="D9" s="416">
        <v>96189754</v>
      </c>
      <c r="E9" s="179">
        <v>106163260</v>
      </c>
      <c r="F9" s="417">
        <v>6710841</v>
      </c>
      <c r="G9" s="418">
        <v>5564608</v>
      </c>
      <c r="H9" s="174">
        <f>B9+D9+F9</f>
        <v>449723383</v>
      </c>
      <c r="I9" s="174">
        <f>G9+E9+C9</f>
        <v>435974855</v>
      </c>
      <c r="J9" s="128"/>
      <c r="K9" s="127"/>
    </row>
    <row r="10" spans="1:19" ht="33" customHeight="1" thickBot="1" x14ac:dyDescent="0.25">
      <c r="A10" s="172" t="s">
        <v>189</v>
      </c>
      <c r="B10" s="416">
        <v>33502293</v>
      </c>
      <c r="C10" s="179">
        <v>28101410</v>
      </c>
      <c r="D10" s="416">
        <v>15960940</v>
      </c>
      <c r="E10" s="179">
        <v>15345000</v>
      </c>
      <c r="F10" s="417">
        <v>1083752</v>
      </c>
      <c r="G10" s="418">
        <v>737500</v>
      </c>
      <c r="H10" s="174">
        <f t="shared" ref="H10:H17" si="0">B10+D10+F10</f>
        <v>50546985</v>
      </c>
      <c r="I10" s="174">
        <f t="shared" ref="I10:I17" si="1">G10+E10+C10</f>
        <v>44183910</v>
      </c>
      <c r="J10" s="128"/>
      <c r="K10" s="127"/>
    </row>
    <row r="11" spans="1:19" ht="21" customHeight="1" thickBot="1" x14ac:dyDescent="0.25">
      <c r="A11" s="85" t="s">
        <v>190</v>
      </c>
      <c r="B11" s="416">
        <v>649201323</v>
      </c>
      <c r="C11" s="179">
        <v>395374713</v>
      </c>
      <c r="D11" s="416">
        <v>14840928</v>
      </c>
      <c r="E11" s="179">
        <v>19597000</v>
      </c>
      <c r="F11" s="417">
        <v>3668511</v>
      </c>
      <c r="G11" s="418">
        <v>5527700</v>
      </c>
      <c r="H11" s="174">
        <f t="shared" si="0"/>
        <v>667710762</v>
      </c>
      <c r="I11" s="174">
        <f t="shared" si="1"/>
        <v>420499413</v>
      </c>
      <c r="J11" s="128"/>
      <c r="K11" s="127"/>
    </row>
    <row r="12" spans="1:19" ht="21" customHeight="1" thickBot="1" x14ac:dyDescent="0.25">
      <c r="A12" s="86" t="s">
        <v>191</v>
      </c>
      <c r="B12" s="416">
        <v>8114592</v>
      </c>
      <c r="C12" s="180">
        <v>14425000</v>
      </c>
      <c r="D12" s="416"/>
      <c r="E12" s="180"/>
      <c r="F12" s="417"/>
      <c r="G12" s="418"/>
      <c r="H12" s="174">
        <f t="shared" si="0"/>
        <v>8114592</v>
      </c>
      <c r="I12" s="174">
        <f t="shared" si="1"/>
        <v>14425000</v>
      </c>
      <c r="J12" s="128"/>
      <c r="K12" s="127"/>
    </row>
    <row r="13" spans="1:19" ht="35.25" customHeight="1" thickBot="1" x14ac:dyDescent="0.25">
      <c r="A13" s="204" t="s">
        <v>371</v>
      </c>
      <c r="B13" s="416">
        <v>129740793</v>
      </c>
      <c r="C13" s="229">
        <v>129588160</v>
      </c>
      <c r="D13" s="416"/>
      <c r="E13" s="180"/>
      <c r="F13" s="417"/>
      <c r="G13" s="418"/>
      <c r="H13" s="174">
        <f t="shared" si="0"/>
        <v>129740793</v>
      </c>
      <c r="I13" s="174">
        <f t="shared" si="1"/>
        <v>129588160</v>
      </c>
      <c r="J13" s="128"/>
      <c r="K13" s="127"/>
    </row>
    <row r="14" spans="1:19" ht="35.25" customHeight="1" thickBot="1" x14ac:dyDescent="0.25">
      <c r="A14" s="204" t="s">
        <v>372</v>
      </c>
      <c r="B14" s="416"/>
      <c r="C14" s="229">
        <v>15000000</v>
      </c>
      <c r="D14" s="416"/>
      <c r="E14" s="180"/>
      <c r="F14" s="417"/>
      <c r="G14" s="418"/>
      <c r="H14" s="174">
        <f t="shared" si="0"/>
        <v>0</v>
      </c>
      <c r="I14" s="174">
        <f t="shared" si="1"/>
        <v>15000000</v>
      </c>
      <c r="J14" s="128"/>
      <c r="K14" s="127"/>
    </row>
    <row r="15" spans="1:19" ht="35.25" customHeight="1" thickBot="1" x14ac:dyDescent="0.25">
      <c r="A15" s="172" t="s">
        <v>197</v>
      </c>
      <c r="B15" s="230"/>
      <c r="C15" s="230">
        <v>51674851</v>
      </c>
      <c r="D15" s="230"/>
      <c r="E15" s="230"/>
      <c r="F15" s="230"/>
      <c r="G15" s="230"/>
      <c r="H15" s="174">
        <f t="shared" si="0"/>
        <v>0</v>
      </c>
      <c r="I15" s="174">
        <f t="shared" si="1"/>
        <v>51674851</v>
      </c>
      <c r="J15" s="128"/>
      <c r="K15" s="127"/>
    </row>
    <row r="16" spans="1:19" ht="35.25" customHeight="1" thickBot="1" x14ac:dyDescent="0.25">
      <c r="A16" s="204" t="s">
        <v>375</v>
      </c>
      <c r="B16" s="419"/>
      <c r="C16" s="229">
        <v>11674851</v>
      </c>
      <c r="D16" s="419"/>
      <c r="E16" s="180"/>
      <c r="F16" s="420"/>
      <c r="G16" s="421"/>
      <c r="H16" s="174">
        <f t="shared" si="0"/>
        <v>0</v>
      </c>
      <c r="I16" s="174">
        <f t="shared" si="1"/>
        <v>11674851</v>
      </c>
      <c r="J16" s="128"/>
      <c r="K16" s="127"/>
    </row>
    <row r="17" spans="1:12" ht="31.5" customHeight="1" thickBot="1" x14ac:dyDescent="0.25">
      <c r="A17" s="204" t="s">
        <v>470</v>
      </c>
      <c r="B17" s="419"/>
      <c r="C17" s="180">
        <v>167538994</v>
      </c>
      <c r="D17" s="419"/>
      <c r="E17" s="180"/>
      <c r="F17" s="420"/>
      <c r="G17" s="421"/>
      <c r="H17" s="174">
        <f t="shared" si="0"/>
        <v>0</v>
      </c>
      <c r="I17" s="174">
        <f t="shared" si="1"/>
        <v>167538994</v>
      </c>
      <c r="J17" s="128"/>
      <c r="K17" s="127"/>
    </row>
    <row r="18" spans="1:12" ht="21" customHeight="1" thickBot="1" x14ac:dyDescent="0.25">
      <c r="A18" s="23" t="s">
        <v>49</v>
      </c>
      <c r="B18" s="174">
        <f>B9+B10+B11+B12+B13+B15</f>
        <v>1167381789</v>
      </c>
      <c r="C18" s="174">
        <f>C9+C10+C11+C12+C13+C15+C17</f>
        <v>1110950115</v>
      </c>
      <c r="D18" s="174">
        <f>SUM(D9:D15)</f>
        <v>126991622</v>
      </c>
      <c r="E18" s="174">
        <f>SUM(E9:E15)</f>
        <v>141105260</v>
      </c>
      <c r="F18" s="174">
        <f>SUM(F9:F15)</f>
        <v>11463104</v>
      </c>
      <c r="G18" s="174">
        <f>SUM(G9:G17)</f>
        <v>11829808</v>
      </c>
      <c r="H18" s="174">
        <f>SUM(H9:H15)</f>
        <v>1305836515</v>
      </c>
      <c r="I18" s="174">
        <f>SUM(I9:I15)-I14</f>
        <v>1096346189</v>
      </c>
      <c r="J18" s="128"/>
      <c r="K18" s="127"/>
    </row>
    <row r="19" spans="1:12" ht="21" customHeight="1" thickBot="1" x14ac:dyDescent="0.25">
      <c r="A19" s="26"/>
      <c r="B19" s="181"/>
      <c r="C19" s="182"/>
      <c r="D19" s="181"/>
      <c r="E19" s="182"/>
      <c r="F19" s="181"/>
      <c r="G19" s="181"/>
      <c r="H19" s="183"/>
      <c r="I19" s="183"/>
      <c r="J19" s="24"/>
      <c r="K19" s="127"/>
    </row>
    <row r="20" spans="1:12" s="250" customFormat="1" ht="21" customHeight="1" thickBot="1" x14ac:dyDescent="0.25">
      <c r="A20" s="249" t="s">
        <v>192</v>
      </c>
      <c r="B20" s="243">
        <v>1801641575</v>
      </c>
      <c r="C20" s="243">
        <v>336232269</v>
      </c>
      <c r="D20" s="243">
        <v>1582521</v>
      </c>
      <c r="E20" s="243">
        <v>13337000</v>
      </c>
      <c r="F20" s="243">
        <v>680688</v>
      </c>
      <c r="G20" s="243">
        <v>1183426</v>
      </c>
      <c r="H20" s="252">
        <f>B20+D20+F20</f>
        <v>1803904784</v>
      </c>
      <c r="I20" s="252">
        <f>G20+E20+C20</f>
        <v>350752695</v>
      </c>
      <c r="J20" s="128"/>
    </row>
    <row r="21" spans="1:12" s="250" customFormat="1" ht="21" customHeight="1" thickBot="1" x14ac:dyDescent="0.25">
      <c r="A21" s="249" t="s">
        <v>193</v>
      </c>
      <c r="B21" s="243">
        <v>38038530</v>
      </c>
      <c r="C21" s="243">
        <v>20949717</v>
      </c>
      <c r="D21" s="243"/>
      <c r="E21" s="243"/>
      <c r="F21" s="243"/>
      <c r="G21" s="243">
        <v>1010000</v>
      </c>
      <c r="H21" s="252">
        <f>B21+D21+F21</f>
        <v>38038530</v>
      </c>
      <c r="I21" s="252">
        <f t="shared" ref="I21:I26" si="2">G21+E21+C21</f>
        <v>21959717</v>
      </c>
      <c r="J21" s="128"/>
    </row>
    <row r="22" spans="1:12" s="250" customFormat="1" ht="21" customHeight="1" thickBot="1" x14ac:dyDescent="0.25">
      <c r="A22" s="249" t="s">
        <v>194</v>
      </c>
      <c r="B22" s="243">
        <v>280320</v>
      </c>
      <c r="C22" s="243"/>
      <c r="D22" s="243"/>
      <c r="E22" s="243"/>
      <c r="F22" s="243"/>
      <c r="G22" s="243"/>
      <c r="H22" s="252">
        <f>B22+D22+F22</f>
        <v>280320</v>
      </c>
      <c r="I22" s="252">
        <f t="shared" si="2"/>
        <v>0</v>
      </c>
      <c r="J22" s="128"/>
    </row>
    <row r="23" spans="1:12" s="250" customFormat="1" ht="42" customHeight="1" thickBot="1" x14ac:dyDescent="0.25">
      <c r="A23" s="251" t="s">
        <v>198</v>
      </c>
      <c r="B23" s="243"/>
      <c r="C23" s="243">
        <v>18574565</v>
      </c>
      <c r="D23" s="243"/>
      <c r="E23" s="243"/>
      <c r="F23" s="243"/>
      <c r="G23" s="243"/>
      <c r="H23" s="252">
        <f>B23+D23+F23</f>
        <v>0</v>
      </c>
      <c r="I23" s="252">
        <f t="shared" si="2"/>
        <v>18574565</v>
      </c>
      <c r="J23" s="128"/>
    </row>
    <row r="24" spans="1:12" ht="21" customHeight="1" thickBot="1" x14ac:dyDescent="0.25">
      <c r="A24" s="23" t="s">
        <v>195</v>
      </c>
      <c r="B24" s="174">
        <f t="shared" ref="B24:G24" si="3">SUM(B20:B23)</f>
        <v>1839960425</v>
      </c>
      <c r="C24" s="174">
        <f t="shared" si="3"/>
        <v>375756551</v>
      </c>
      <c r="D24" s="174">
        <f t="shared" si="3"/>
        <v>1582521</v>
      </c>
      <c r="E24" s="174">
        <f t="shared" si="3"/>
        <v>13337000</v>
      </c>
      <c r="F24" s="174">
        <f t="shared" si="3"/>
        <v>680688</v>
      </c>
      <c r="G24" s="174">
        <f t="shared" si="3"/>
        <v>2193426</v>
      </c>
      <c r="H24" s="174">
        <f>B24+D24+F24</f>
        <v>1842223634</v>
      </c>
      <c r="I24" s="252">
        <f t="shared" si="2"/>
        <v>391286977</v>
      </c>
      <c r="J24" s="128"/>
      <c r="K24" s="127"/>
    </row>
    <row r="25" spans="1:12" ht="21" customHeight="1" thickBot="1" x14ac:dyDescent="0.25">
      <c r="A25" s="26"/>
      <c r="B25" s="181"/>
      <c r="C25" s="182"/>
      <c r="D25" s="181"/>
      <c r="E25" s="182"/>
      <c r="F25" s="181"/>
      <c r="G25" s="181"/>
      <c r="H25" s="174"/>
      <c r="I25" s="253"/>
      <c r="J25" s="24"/>
    </row>
    <row r="26" spans="1:12" ht="21" customHeight="1" thickBot="1" x14ac:dyDescent="0.25">
      <c r="A26" s="23" t="s">
        <v>373</v>
      </c>
      <c r="B26" s="142"/>
      <c r="C26" s="184">
        <v>5000000</v>
      </c>
      <c r="D26" s="142"/>
      <c r="E26" s="184"/>
      <c r="F26" s="142"/>
      <c r="G26" s="142"/>
      <c r="H26" s="174">
        <f>B26+D26+F26</f>
        <v>0</v>
      </c>
      <c r="I26" s="252">
        <f t="shared" si="2"/>
        <v>5000000</v>
      </c>
      <c r="J26" s="24"/>
      <c r="K26" s="127"/>
    </row>
    <row r="27" spans="1:12" ht="21" customHeight="1" thickBot="1" x14ac:dyDescent="0.25">
      <c r="A27" s="26"/>
      <c r="B27" s="185"/>
      <c r="C27" s="185"/>
      <c r="D27" s="181"/>
      <c r="E27" s="182"/>
      <c r="F27" s="181"/>
      <c r="G27" s="181"/>
      <c r="H27" s="183"/>
      <c r="I27" s="253"/>
      <c r="J27" s="24"/>
    </row>
    <row r="28" spans="1:12" ht="21" customHeight="1" thickBot="1" x14ac:dyDescent="0.25">
      <c r="A28" s="23" t="s">
        <v>50</v>
      </c>
      <c r="B28" s="174">
        <f t="shared" ref="B28:H28" si="4">B18+B24+B26</f>
        <v>3007342214</v>
      </c>
      <c r="C28" s="174">
        <f>C18+C24+C26</f>
        <v>1491706666</v>
      </c>
      <c r="D28" s="174">
        <f>D18+D24+D26</f>
        <v>128574143</v>
      </c>
      <c r="E28" s="174">
        <f t="shared" si="4"/>
        <v>154442260</v>
      </c>
      <c r="F28" s="174">
        <f>F18+F24+F26</f>
        <v>12143792</v>
      </c>
      <c r="G28" s="174">
        <f t="shared" si="4"/>
        <v>14023234</v>
      </c>
      <c r="H28" s="174">
        <f t="shared" si="4"/>
        <v>3148060149</v>
      </c>
      <c r="I28" s="252">
        <f>G28+E28+C28</f>
        <v>1660172160</v>
      </c>
      <c r="J28" s="24"/>
      <c r="K28" s="127"/>
    </row>
    <row r="29" spans="1:12" ht="21" customHeight="1" x14ac:dyDescent="0.2">
      <c r="A29" s="27"/>
      <c r="B29" s="186"/>
      <c r="C29" s="186"/>
      <c r="D29" s="186"/>
      <c r="E29" s="187"/>
      <c r="F29" s="186"/>
      <c r="G29" s="186"/>
      <c r="H29" s="186"/>
      <c r="I29" s="383"/>
      <c r="J29" s="24"/>
    </row>
    <row r="30" spans="1:12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</row>
    <row r="31" spans="1:12" ht="16.5" customHeight="1" x14ac:dyDescent="0.2">
      <c r="A31" s="88"/>
      <c r="B31" s="88"/>
      <c r="C31" s="686"/>
      <c r="D31" s="88"/>
      <c r="E31" s="88"/>
      <c r="F31" s="88"/>
      <c r="G31" s="88"/>
      <c r="H31" s="88"/>
      <c r="I31" s="89"/>
      <c r="J31" s="24"/>
    </row>
    <row r="32" spans="1:12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x14ac:dyDescent="0.2">
      <c r="A33" s="24"/>
      <c r="B33" s="24"/>
      <c r="C33" s="784"/>
      <c r="D33" s="24"/>
      <c r="E33" s="24"/>
      <c r="F33" s="24"/>
      <c r="G33" s="24"/>
      <c r="H33" s="24"/>
      <c r="I33" s="24"/>
      <c r="J33" s="24"/>
      <c r="K33" s="24"/>
      <c r="L33" s="24"/>
    </row>
    <row r="34" spans="1:12" x14ac:dyDescent="0.2">
      <c r="A34" s="24"/>
      <c r="B34" s="24"/>
      <c r="C34" s="784"/>
      <c r="D34" s="24"/>
      <c r="E34" s="24"/>
      <c r="F34" s="24"/>
      <c r="G34" s="24"/>
      <c r="H34" s="24"/>
      <c r="I34" s="24"/>
      <c r="J34" s="24"/>
      <c r="K34" s="24"/>
      <c r="L34" s="24"/>
    </row>
    <row r="35" spans="1:12" x14ac:dyDescent="0.2">
      <c r="A35" s="24"/>
      <c r="B35" s="24"/>
      <c r="C35" s="784"/>
      <c r="D35" s="24"/>
      <c r="E35" s="24"/>
      <c r="F35" s="24"/>
      <c r="G35" s="24"/>
      <c r="H35" s="24"/>
      <c r="I35" s="24"/>
      <c r="J35" s="24"/>
      <c r="K35" s="24"/>
      <c r="L35" s="24"/>
    </row>
    <row r="36" spans="1:12" x14ac:dyDescent="0.2">
      <c r="A36" s="24"/>
      <c r="B36" s="24"/>
      <c r="C36" s="784"/>
      <c r="D36" s="24"/>
      <c r="E36" s="24"/>
      <c r="F36" s="24"/>
      <c r="G36" s="24"/>
      <c r="H36" s="24"/>
      <c r="I36" s="24"/>
      <c r="J36" s="24"/>
      <c r="K36" s="24"/>
      <c r="L36" s="24"/>
    </row>
    <row r="37" spans="1:12" x14ac:dyDescent="0.2">
      <c r="A37" s="24"/>
      <c r="B37" s="24"/>
      <c r="C37" s="784"/>
      <c r="D37" s="24"/>
      <c r="E37" s="24"/>
      <c r="F37" s="24"/>
      <c r="G37" s="24"/>
      <c r="H37" s="24"/>
      <c r="I37" s="24"/>
      <c r="J37" s="24"/>
      <c r="K37" s="24"/>
      <c r="L37" s="24"/>
    </row>
    <row r="38" spans="1:12" x14ac:dyDescent="0.2">
      <c r="A38" s="24"/>
      <c r="B38" s="24"/>
      <c r="C38" s="784"/>
      <c r="D38" s="24"/>
      <c r="E38" s="24"/>
      <c r="F38" s="24"/>
      <c r="G38" s="24"/>
      <c r="H38" s="24"/>
      <c r="I38" s="24"/>
      <c r="J38" s="24"/>
      <c r="K38" s="24"/>
      <c r="L38" s="24"/>
    </row>
    <row r="39" spans="1:12" x14ac:dyDescent="0.2">
      <c r="A39" s="24"/>
      <c r="B39" s="24"/>
      <c r="C39" s="784"/>
      <c r="D39" s="24"/>
      <c r="E39" s="24"/>
      <c r="F39" s="785"/>
      <c r="G39" s="24"/>
      <c r="H39" s="24"/>
      <c r="I39" s="24"/>
      <c r="J39" s="24"/>
      <c r="K39" s="24"/>
      <c r="L39" s="24"/>
    </row>
  </sheetData>
  <mergeCells count="11">
    <mergeCell ref="I7:I8"/>
    <mergeCell ref="D7:D8"/>
    <mergeCell ref="B7:B8"/>
    <mergeCell ref="A2:I2"/>
    <mergeCell ref="C7:C8"/>
    <mergeCell ref="F7:F8"/>
    <mergeCell ref="G7:G8"/>
    <mergeCell ref="D6:I6"/>
    <mergeCell ref="H7:H8"/>
    <mergeCell ref="A7:A8"/>
    <mergeCell ref="E7:E8"/>
  </mergeCells>
  <phoneticPr fontId="4" type="noConversion"/>
  <pageMargins left="0.19685039370078741" right="0.19685039370078741" top="0.35433070866141736" bottom="0.39370078740157483" header="0.51181102362204722" footer="0.51181102362204722"/>
  <pageSetup paperSize="9" scale="78" orientation="landscape" r:id="rId1"/>
  <headerFooter alignWithMargins="0">
    <oddHeader>&amp;R3.sz. melléklet
..../2021.(II.15.) Egyek Önk.</oddHeader>
  </headerFooter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7"/>
  <sheetViews>
    <sheetView topLeftCell="A4" zoomScale="110" zoomScaleNormal="110" zoomScaleSheetLayoutView="100" workbookViewId="0">
      <selection activeCell="H9" sqref="H9"/>
    </sheetView>
  </sheetViews>
  <sheetFormatPr defaultRowHeight="12.75" x14ac:dyDescent="0.2"/>
  <cols>
    <col min="1" max="1" width="49" customWidth="1"/>
    <col min="2" max="2" width="15.7109375" customWidth="1"/>
    <col min="3" max="3" width="17.28515625" customWidth="1"/>
    <col min="4" max="4" width="21" customWidth="1"/>
    <col min="5" max="5" width="17.5703125" customWidth="1"/>
    <col min="6" max="7" width="18" customWidth="1"/>
    <col min="8" max="8" width="16.42578125" customWidth="1"/>
    <col min="9" max="9" width="15.7109375" customWidth="1"/>
    <col min="10" max="10" width="15.140625" customWidth="1"/>
    <col min="11" max="11" width="16.7109375" customWidth="1"/>
    <col min="12" max="12" width="17.28515625" customWidth="1"/>
  </cols>
  <sheetData>
    <row r="2" spans="1:12" ht="15.75" x14ac:dyDescent="0.25">
      <c r="A2" s="917" t="s">
        <v>498</v>
      </c>
      <c r="B2" s="918"/>
      <c r="C2" s="918"/>
      <c r="D2" s="918"/>
      <c r="E2" s="918"/>
      <c r="F2" s="918"/>
      <c r="G2" s="918"/>
      <c r="H2" s="918"/>
      <c r="I2" s="919"/>
      <c r="J2" s="919"/>
      <c r="K2" s="919"/>
      <c r="L2" s="919"/>
    </row>
    <row r="3" spans="1:12" ht="13.5" thickBot="1" x14ac:dyDescent="0.25">
      <c r="L3" s="225"/>
    </row>
    <row r="4" spans="1:12" ht="102" customHeight="1" thickBot="1" x14ac:dyDescent="0.25">
      <c r="A4" s="870" t="s">
        <v>169</v>
      </c>
      <c r="B4" s="156" t="s">
        <v>188</v>
      </c>
      <c r="C4" s="156" t="s">
        <v>199</v>
      </c>
      <c r="D4" s="156" t="s">
        <v>190</v>
      </c>
      <c r="E4" s="156" t="s">
        <v>200</v>
      </c>
      <c r="F4" s="156" t="s">
        <v>196</v>
      </c>
      <c r="G4" s="156" t="s">
        <v>390</v>
      </c>
      <c r="H4" s="156" t="s">
        <v>192</v>
      </c>
      <c r="I4" s="156" t="s">
        <v>193</v>
      </c>
      <c r="J4" s="156" t="s">
        <v>194</v>
      </c>
      <c r="K4" s="156" t="s">
        <v>202</v>
      </c>
      <c r="L4" s="157" t="s">
        <v>41</v>
      </c>
    </row>
    <row r="5" spans="1:12" ht="21" customHeight="1" thickBot="1" x14ac:dyDescent="0.25">
      <c r="A5" s="871"/>
      <c r="B5" s="35" t="s">
        <v>482</v>
      </c>
      <c r="C5" s="35" t="s">
        <v>482</v>
      </c>
      <c r="D5" s="35" t="s">
        <v>482</v>
      </c>
      <c r="E5" s="35" t="s">
        <v>482</v>
      </c>
      <c r="F5" s="35" t="s">
        <v>482</v>
      </c>
      <c r="G5" s="35" t="s">
        <v>482</v>
      </c>
      <c r="H5" s="35" t="s">
        <v>482</v>
      </c>
      <c r="I5" s="35" t="s">
        <v>482</v>
      </c>
      <c r="J5" s="35" t="s">
        <v>482</v>
      </c>
      <c r="K5" s="35" t="s">
        <v>482</v>
      </c>
      <c r="L5" s="35" t="s">
        <v>482</v>
      </c>
    </row>
    <row r="6" spans="1:12" ht="21" customHeight="1" thickBot="1" x14ac:dyDescent="0.25">
      <c r="A6" s="809" t="s">
        <v>549</v>
      </c>
      <c r="B6" s="91">
        <v>21032950</v>
      </c>
      <c r="C6" s="91">
        <v>2973000</v>
      </c>
      <c r="D6" s="126">
        <v>20286000</v>
      </c>
      <c r="E6" s="126"/>
      <c r="F6" s="91">
        <v>6751424</v>
      </c>
      <c r="G6" s="91">
        <v>20000000</v>
      </c>
      <c r="H6" s="91">
        <v>80000</v>
      </c>
      <c r="I6" s="126"/>
      <c r="J6" s="126"/>
      <c r="K6" s="91"/>
      <c r="L6" s="203">
        <f>SUM(B6:K6)</f>
        <v>71123374</v>
      </c>
    </row>
    <row r="7" spans="1:12" ht="21" customHeight="1" thickBot="1" x14ac:dyDescent="0.25">
      <c r="A7" s="809" t="s">
        <v>178</v>
      </c>
      <c r="B7" s="91"/>
      <c r="C7" s="91"/>
      <c r="D7" s="126">
        <v>616000</v>
      </c>
      <c r="E7" s="126"/>
      <c r="F7" s="91">
        <v>5000000</v>
      </c>
      <c r="G7" s="91"/>
      <c r="H7" s="91"/>
      <c r="I7" s="126"/>
      <c r="J7" s="126"/>
      <c r="K7" s="91"/>
      <c r="L7" s="203">
        <f t="shared" ref="L7:L35" si="0">SUM(B7:K7)</f>
        <v>5616000</v>
      </c>
    </row>
    <row r="8" spans="1:12" ht="31.5" customHeight="1" thickBot="1" x14ac:dyDescent="0.25">
      <c r="A8" s="810" t="s">
        <v>171</v>
      </c>
      <c r="B8" s="91"/>
      <c r="C8" s="91"/>
      <c r="D8" s="126">
        <v>90886847</v>
      </c>
      <c r="E8" s="126"/>
      <c r="F8" s="91"/>
      <c r="G8" s="91"/>
      <c r="H8" s="91">
        <v>134402379</v>
      </c>
      <c r="I8" s="126">
        <v>17359253</v>
      </c>
      <c r="J8" s="126"/>
      <c r="K8" s="91"/>
      <c r="L8" s="203">
        <f>SUM(B8:K8)</f>
        <v>242648479</v>
      </c>
    </row>
    <row r="9" spans="1:12" ht="31.5" customHeight="1" thickBot="1" x14ac:dyDescent="0.25">
      <c r="A9" s="810" t="s">
        <v>365</v>
      </c>
      <c r="B9" s="91"/>
      <c r="C9" s="91"/>
      <c r="D9" s="126"/>
      <c r="E9" s="126"/>
      <c r="F9" s="91">
        <v>9000</v>
      </c>
      <c r="G9" s="91"/>
      <c r="H9" s="91"/>
      <c r="I9" s="126"/>
      <c r="J9" s="126"/>
      <c r="K9" s="91">
        <v>11674851</v>
      </c>
      <c r="L9" s="203">
        <f t="shared" si="0"/>
        <v>11683851</v>
      </c>
    </row>
    <row r="10" spans="1:12" ht="31.5" customHeight="1" thickBot="1" x14ac:dyDescent="0.25">
      <c r="A10" s="810" t="s">
        <v>388</v>
      </c>
      <c r="B10" s="91"/>
      <c r="C10" s="91"/>
      <c r="D10" s="126"/>
      <c r="E10" s="126"/>
      <c r="F10" s="91">
        <v>44652000</v>
      </c>
      <c r="G10" s="91"/>
      <c r="H10" s="91"/>
      <c r="I10" s="126"/>
      <c r="J10" s="126"/>
      <c r="K10" s="91"/>
      <c r="L10" s="203">
        <f t="shared" si="0"/>
        <v>44652000</v>
      </c>
    </row>
    <row r="11" spans="1:12" ht="21" customHeight="1" thickBot="1" x14ac:dyDescent="0.25">
      <c r="A11" s="811" t="s">
        <v>205</v>
      </c>
      <c r="B11" s="91"/>
      <c r="C11" s="91"/>
      <c r="D11" s="126"/>
      <c r="E11" s="126"/>
      <c r="F11" s="91">
        <v>10309860</v>
      </c>
      <c r="G11" s="91"/>
      <c r="H11" s="91"/>
      <c r="I11" s="126"/>
      <c r="J11" s="91"/>
      <c r="K11" s="91"/>
      <c r="L11" s="203">
        <f t="shared" si="0"/>
        <v>10309860</v>
      </c>
    </row>
    <row r="12" spans="1:12" ht="21" customHeight="1" thickBot="1" x14ac:dyDescent="0.25">
      <c r="A12" s="809" t="s">
        <v>528</v>
      </c>
      <c r="B12" s="91"/>
      <c r="C12" s="91"/>
      <c r="D12" s="126">
        <v>523875</v>
      </c>
      <c r="E12" s="126"/>
      <c r="F12" s="91"/>
      <c r="G12" s="91"/>
      <c r="H12" s="91"/>
      <c r="I12" s="126"/>
      <c r="J12" s="91"/>
      <c r="K12" s="91"/>
      <c r="L12" s="203">
        <f t="shared" si="0"/>
        <v>523875</v>
      </c>
    </row>
    <row r="13" spans="1:12" ht="21" customHeight="1" thickBot="1" x14ac:dyDescent="0.25">
      <c r="A13" s="809" t="s">
        <v>177</v>
      </c>
      <c r="B13" s="91">
        <v>287060251</v>
      </c>
      <c r="C13" s="91">
        <v>22470000</v>
      </c>
      <c r="D13" s="126">
        <v>58937733</v>
      </c>
      <c r="E13" s="126"/>
      <c r="F13" s="91">
        <v>20782100</v>
      </c>
      <c r="G13" s="91"/>
      <c r="H13" s="91">
        <v>73586186</v>
      </c>
      <c r="I13" s="126"/>
      <c r="J13" s="126"/>
      <c r="K13" s="91"/>
      <c r="L13" s="203">
        <f t="shared" si="0"/>
        <v>462836270</v>
      </c>
    </row>
    <row r="14" spans="1:12" ht="21" customHeight="1" thickBot="1" x14ac:dyDescent="0.25">
      <c r="A14" s="809" t="s">
        <v>367</v>
      </c>
      <c r="B14" s="91"/>
      <c r="C14" s="91"/>
      <c r="D14" s="126">
        <v>9642000</v>
      </c>
      <c r="E14" s="126"/>
      <c r="F14" s="91"/>
      <c r="G14" s="91"/>
      <c r="H14" s="91">
        <v>254000</v>
      </c>
      <c r="I14" s="126"/>
      <c r="J14" s="126"/>
      <c r="K14" s="91"/>
      <c r="L14" s="203">
        <f t="shared" si="0"/>
        <v>9896000</v>
      </c>
    </row>
    <row r="15" spans="1:12" s="137" customFormat="1" ht="21" customHeight="1" thickBot="1" x14ac:dyDescent="0.25">
      <c r="A15" s="811" t="s">
        <v>291</v>
      </c>
      <c r="B15" s="91"/>
      <c r="C15" s="91"/>
      <c r="D15" s="126">
        <v>11737000</v>
      </c>
      <c r="E15" s="126"/>
      <c r="F15" s="91"/>
      <c r="G15" s="91"/>
      <c r="H15" s="91"/>
      <c r="I15" s="126"/>
      <c r="J15" s="126"/>
      <c r="K15" s="91"/>
      <c r="L15" s="203">
        <f t="shared" si="0"/>
        <v>11737000</v>
      </c>
    </row>
    <row r="16" spans="1:12" s="137" customFormat="1" ht="21" customHeight="1" thickBot="1" x14ac:dyDescent="0.25">
      <c r="A16" s="814" t="s">
        <v>550</v>
      </c>
      <c r="B16" s="91"/>
      <c r="C16" s="91"/>
      <c r="D16" s="126">
        <v>2596890</v>
      </c>
      <c r="E16" s="126"/>
      <c r="F16" s="91"/>
      <c r="G16" s="91"/>
      <c r="H16" s="91">
        <v>5804330</v>
      </c>
      <c r="I16" s="126"/>
      <c r="J16" s="126"/>
      <c r="K16" s="91"/>
      <c r="L16" s="203">
        <f t="shared" si="0"/>
        <v>8401220</v>
      </c>
    </row>
    <row r="17" spans="1:12" s="137" customFormat="1" ht="21" customHeight="1" thickBot="1" x14ac:dyDescent="0.25">
      <c r="A17" s="814" t="s">
        <v>530</v>
      </c>
      <c r="B17" s="91"/>
      <c r="C17" s="91"/>
      <c r="D17" s="126">
        <v>1657350</v>
      </c>
      <c r="E17" s="126"/>
      <c r="F17" s="91"/>
      <c r="G17" s="91"/>
      <c r="H17" s="91">
        <v>2606548</v>
      </c>
      <c r="I17" s="126"/>
      <c r="J17" s="126"/>
      <c r="K17" s="91"/>
      <c r="L17" s="203">
        <f t="shared" si="0"/>
        <v>4263898</v>
      </c>
    </row>
    <row r="18" spans="1:12" s="137" customFormat="1" ht="21" customHeight="1" thickBot="1" x14ac:dyDescent="0.25">
      <c r="A18" s="815" t="s">
        <v>370</v>
      </c>
      <c r="B18" s="91"/>
      <c r="C18" s="91"/>
      <c r="D18" s="126">
        <v>55800042</v>
      </c>
      <c r="E18" s="126"/>
      <c r="F18" s="91">
        <v>10000</v>
      </c>
      <c r="G18" s="91"/>
      <c r="H18" s="91">
        <v>94035364</v>
      </c>
      <c r="I18" s="126"/>
      <c r="J18" s="126"/>
      <c r="K18" s="91"/>
      <c r="L18" s="203">
        <f t="shared" si="0"/>
        <v>149845406</v>
      </c>
    </row>
    <row r="19" spans="1:12" s="137" customFormat="1" ht="21" customHeight="1" thickBot="1" x14ac:dyDescent="0.25">
      <c r="A19" s="815" t="s">
        <v>531</v>
      </c>
      <c r="B19" s="91"/>
      <c r="C19" s="91"/>
      <c r="D19" s="126">
        <v>500000</v>
      </c>
      <c r="E19" s="126"/>
      <c r="F19" s="91"/>
      <c r="G19" s="91"/>
      <c r="H19" s="91">
        <v>23592470</v>
      </c>
      <c r="I19" s="126"/>
      <c r="J19" s="126"/>
      <c r="K19" s="91"/>
      <c r="L19" s="203">
        <f t="shared" si="0"/>
        <v>24092470</v>
      </c>
    </row>
    <row r="20" spans="1:12" s="137" customFormat="1" ht="21" customHeight="1" thickBot="1" x14ac:dyDescent="0.25">
      <c r="A20" s="810" t="s">
        <v>204</v>
      </c>
      <c r="B20" s="91"/>
      <c r="C20" s="91"/>
      <c r="D20" s="126">
        <v>15592000</v>
      </c>
      <c r="E20" s="126"/>
      <c r="F20" s="91"/>
      <c r="G20" s="91"/>
      <c r="H20" s="91"/>
      <c r="I20" s="126"/>
      <c r="J20" s="126"/>
      <c r="K20" s="91"/>
      <c r="L20" s="203">
        <f t="shared" si="0"/>
        <v>15592000</v>
      </c>
    </row>
    <row r="21" spans="1:12" s="137" customFormat="1" ht="21" customHeight="1" thickBot="1" x14ac:dyDescent="0.25">
      <c r="A21" s="811" t="s">
        <v>172</v>
      </c>
      <c r="B21" s="91">
        <v>2848200</v>
      </c>
      <c r="C21" s="91">
        <v>442000</v>
      </c>
      <c r="D21" s="126">
        <v>49781920</v>
      </c>
      <c r="E21" s="126"/>
      <c r="F21" s="91"/>
      <c r="G21" s="91"/>
      <c r="H21" s="91"/>
      <c r="I21" s="126"/>
      <c r="J21" s="126"/>
      <c r="K21" s="91"/>
      <c r="L21" s="203">
        <f t="shared" si="0"/>
        <v>53072120</v>
      </c>
    </row>
    <row r="22" spans="1:12" ht="21" customHeight="1" thickBot="1" x14ac:dyDescent="0.25">
      <c r="A22" s="811" t="s">
        <v>206</v>
      </c>
      <c r="B22" s="91">
        <v>960000</v>
      </c>
      <c r="C22" s="91">
        <v>149000</v>
      </c>
      <c r="D22" s="126">
        <v>3400000</v>
      </c>
      <c r="E22" s="126"/>
      <c r="F22" s="91"/>
      <c r="G22" s="91"/>
      <c r="H22" s="91"/>
      <c r="I22" s="126"/>
      <c r="J22" s="91"/>
      <c r="K22" s="91"/>
      <c r="L22" s="203">
        <f t="shared" si="0"/>
        <v>4509000</v>
      </c>
    </row>
    <row r="23" spans="1:12" ht="21" customHeight="1" thickBot="1" x14ac:dyDescent="0.25">
      <c r="A23" s="811" t="s">
        <v>207</v>
      </c>
      <c r="B23" s="91"/>
      <c r="C23" s="91"/>
      <c r="D23" s="126">
        <v>11401000</v>
      </c>
      <c r="E23" s="126"/>
      <c r="F23" s="91"/>
      <c r="G23" s="91"/>
      <c r="H23" s="91"/>
      <c r="I23" s="126"/>
      <c r="J23" s="91"/>
      <c r="K23" s="91"/>
      <c r="L23" s="203">
        <f t="shared" si="0"/>
        <v>11401000</v>
      </c>
    </row>
    <row r="24" spans="1:12" ht="21" customHeight="1" thickBot="1" x14ac:dyDescent="0.25">
      <c r="A24" s="811" t="s">
        <v>208</v>
      </c>
      <c r="B24" s="91"/>
      <c r="C24" s="91"/>
      <c r="D24" s="126">
        <v>16892000</v>
      </c>
      <c r="E24" s="126"/>
      <c r="F24" s="91"/>
      <c r="G24" s="91"/>
      <c r="H24" s="91"/>
      <c r="I24" s="126"/>
      <c r="J24" s="91"/>
      <c r="K24" s="91"/>
      <c r="L24" s="203">
        <f t="shared" si="0"/>
        <v>16892000</v>
      </c>
    </row>
    <row r="25" spans="1:12" ht="40.5" customHeight="1" thickBot="1" x14ac:dyDescent="0.25">
      <c r="A25" s="810" t="s">
        <v>551</v>
      </c>
      <c r="B25" s="91"/>
      <c r="C25" s="91"/>
      <c r="D25" s="126">
        <v>1500000</v>
      </c>
      <c r="E25" s="126"/>
      <c r="F25" s="91"/>
      <c r="G25" s="91"/>
      <c r="H25" s="91"/>
      <c r="I25" s="126"/>
      <c r="J25" s="91"/>
      <c r="K25" s="91"/>
      <c r="L25" s="203">
        <f t="shared" si="0"/>
        <v>1500000</v>
      </c>
    </row>
    <row r="26" spans="1:12" ht="21" customHeight="1" thickBot="1" x14ac:dyDescent="0.25">
      <c r="A26" s="811" t="s">
        <v>203</v>
      </c>
      <c r="B26" s="91"/>
      <c r="C26" s="91"/>
      <c r="D26" s="126">
        <v>800000</v>
      </c>
      <c r="E26" s="126"/>
      <c r="F26" s="91"/>
      <c r="G26" s="91"/>
      <c r="H26" s="91"/>
      <c r="I26" s="126"/>
      <c r="J26" s="126"/>
      <c r="K26" s="91"/>
      <c r="L26" s="203">
        <f t="shared" si="0"/>
        <v>800000</v>
      </c>
    </row>
    <row r="27" spans="1:12" ht="21" customHeight="1" thickBot="1" x14ac:dyDescent="0.25">
      <c r="A27" s="809" t="s">
        <v>366</v>
      </c>
      <c r="B27" s="91"/>
      <c r="C27" s="91"/>
      <c r="D27" s="126"/>
      <c r="E27" s="126"/>
      <c r="F27" s="91">
        <v>7220000</v>
      </c>
      <c r="G27" s="91"/>
      <c r="H27" s="91"/>
      <c r="I27" s="126"/>
      <c r="J27" s="126"/>
      <c r="K27" s="91"/>
      <c r="L27" s="203">
        <f t="shared" si="0"/>
        <v>7220000</v>
      </c>
    </row>
    <row r="28" spans="1:12" ht="21" customHeight="1" thickBot="1" x14ac:dyDescent="0.25">
      <c r="A28" s="809" t="s">
        <v>389</v>
      </c>
      <c r="B28" s="91"/>
      <c r="C28" s="91"/>
      <c r="D28" s="126">
        <v>9741000</v>
      </c>
      <c r="E28" s="126"/>
      <c r="F28" s="91"/>
      <c r="G28" s="91"/>
      <c r="H28" s="91"/>
      <c r="I28" s="126"/>
      <c r="J28" s="126"/>
      <c r="K28" s="91"/>
      <c r="L28" s="203">
        <f t="shared" si="0"/>
        <v>9741000</v>
      </c>
    </row>
    <row r="29" spans="1:12" ht="21" customHeight="1" thickBot="1" x14ac:dyDescent="0.25">
      <c r="A29" s="809" t="s">
        <v>292</v>
      </c>
      <c r="B29" s="91"/>
      <c r="C29" s="91"/>
      <c r="D29" s="126"/>
      <c r="E29" s="126">
        <v>625000</v>
      </c>
      <c r="F29" s="91"/>
      <c r="G29" s="91"/>
      <c r="H29" s="91"/>
      <c r="I29" s="126"/>
      <c r="J29" s="126"/>
      <c r="K29" s="91"/>
      <c r="L29" s="203">
        <f t="shared" si="0"/>
        <v>625000</v>
      </c>
    </row>
    <row r="30" spans="1:12" ht="28.5" customHeight="1" thickBot="1" x14ac:dyDescent="0.25">
      <c r="A30" s="813" t="s">
        <v>170</v>
      </c>
      <c r="B30" s="91"/>
      <c r="C30" s="91"/>
      <c r="D30" s="126">
        <v>635000</v>
      </c>
      <c r="E30" s="126"/>
      <c r="F30" s="91">
        <v>15392376</v>
      </c>
      <c r="G30" s="91"/>
      <c r="H30" s="91"/>
      <c r="I30" s="126"/>
      <c r="J30" s="126"/>
      <c r="K30" s="91"/>
      <c r="L30" s="203">
        <f t="shared" si="0"/>
        <v>16027376</v>
      </c>
    </row>
    <row r="31" spans="1:12" ht="21" customHeight="1" thickBot="1" x14ac:dyDescent="0.25">
      <c r="A31" s="809" t="s">
        <v>176</v>
      </c>
      <c r="B31" s="91">
        <v>4390295</v>
      </c>
      <c r="C31" s="91">
        <v>633500</v>
      </c>
      <c r="D31" s="126">
        <v>1321000</v>
      </c>
      <c r="E31" s="126"/>
      <c r="F31" s="91"/>
      <c r="G31" s="91"/>
      <c r="H31" s="91"/>
      <c r="I31" s="111"/>
      <c r="J31" s="111"/>
      <c r="K31" s="91"/>
      <c r="L31" s="203">
        <f t="shared" si="0"/>
        <v>6344795</v>
      </c>
    </row>
    <row r="32" spans="1:12" ht="21" customHeight="1" thickBot="1" x14ac:dyDescent="0.25">
      <c r="A32" s="809" t="s">
        <v>209</v>
      </c>
      <c r="B32" s="91"/>
      <c r="C32" s="91"/>
      <c r="D32" s="126">
        <v>100000</v>
      </c>
      <c r="E32" s="126">
        <v>13800000</v>
      </c>
      <c r="F32" s="91">
        <v>3400000</v>
      </c>
      <c r="G32" s="91"/>
      <c r="H32" s="91"/>
      <c r="I32" s="126"/>
      <c r="J32" s="126"/>
      <c r="K32" s="91"/>
      <c r="L32" s="203">
        <f t="shared" si="0"/>
        <v>17300000</v>
      </c>
    </row>
    <row r="33" spans="1:12" ht="35.25" customHeight="1" thickBot="1" x14ac:dyDescent="0.25">
      <c r="A33" s="812" t="s">
        <v>446</v>
      </c>
      <c r="B33" s="91">
        <v>7955291</v>
      </c>
      <c r="C33" s="91">
        <v>1433910</v>
      </c>
      <c r="D33" s="126">
        <v>25927056</v>
      </c>
      <c r="E33" s="126"/>
      <c r="F33" s="91">
        <v>1061400</v>
      </c>
      <c r="G33" s="91"/>
      <c r="H33" s="91">
        <v>1870992</v>
      </c>
      <c r="I33" s="126">
        <v>3590464</v>
      </c>
      <c r="J33" s="126"/>
      <c r="K33" s="91"/>
      <c r="L33" s="203">
        <f t="shared" si="0"/>
        <v>41839113</v>
      </c>
    </row>
    <row r="34" spans="1:12" ht="30.75" customHeight="1" thickBot="1" x14ac:dyDescent="0.25">
      <c r="A34" s="810" t="s">
        <v>175</v>
      </c>
      <c r="B34" s="91"/>
      <c r="C34" s="91"/>
      <c r="D34" s="126">
        <v>5100000</v>
      </c>
      <c r="E34" s="126"/>
      <c r="F34" s="91"/>
      <c r="G34" s="91"/>
      <c r="H34" s="91"/>
      <c r="I34" s="126"/>
      <c r="J34" s="91"/>
      <c r="K34" s="91">
        <v>58574565</v>
      </c>
      <c r="L34" s="203">
        <f t="shared" si="0"/>
        <v>63674565</v>
      </c>
    </row>
    <row r="35" spans="1:12" ht="21" customHeight="1" thickBot="1" x14ac:dyDescent="0.25">
      <c r="A35" s="131" t="s">
        <v>30</v>
      </c>
      <c r="B35" s="138">
        <f t="shared" ref="B35:K35" si="1">SUM(B6:B34)</f>
        <v>324246987</v>
      </c>
      <c r="C35" s="138">
        <f t="shared" si="1"/>
        <v>28101410</v>
      </c>
      <c r="D35" s="138">
        <f t="shared" si="1"/>
        <v>395374713</v>
      </c>
      <c r="E35" s="138">
        <f t="shared" si="1"/>
        <v>14425000</v>
      </c>
      <c r="F35" s="138">
        <f t="shared" si="1"/>
        <v>114588160</v>
      </c>
      <c r="G35" s="138">
        <f t="shared" si="1"/>
        <v>20000000</v>
      </c>
      <c r="H35" s="138">
        <f t="shared" si="1"/>
        <v>336232269</v>
      </c>
      <c r="I35" s="138">
        <f t="shared" si="1"/>
        <v>20949717</v>
      </c>
      <c r="J35" s="138">
        <f t="shared" si="1"/>
        <v>0</v>
      </c>
      <c r="K35" s="138">
        <f t="shared" si="1"/>
        <v>70249416</v>
      </c>
      <c r="L35" s="203">
        <f t="shared" si="0"/>
        <v>1324167672</v>
      </c>
    </row>
    <row r="37" spans="1:12" x14ac:dyDescent="0.2">
      <c r="E37" s="2"/>
      <c r="J37" s="127"/>
      <c r="L37" s="2"/>
    </row>
    <row r="38" spans="1:12" x14ac:dyDescent="0.2">
      <c r="L38" s="2"/>
    </row>
    <row r="39" spans="1:12" x14ac:dyDescent="0.2">
      <c r="A39" s="139"/>
      <c r="B39" s="37"/>
      <c r="C39" s="37"/>
      <c r="D39" s="37"/>
      <c r="E39" s="37"/>
      <c r="F39" s="37"/>
      <c r="G39" s="37"/>
      <c r="H39" s="37"/>
    </row>
    <row r="40" spans="1:12" x14ac:dyDescent="0.2">
      <c r="A40" s="140"/>
      <c r="B40" s="40"/>
      <c r="C40" s="40"/>
      <c r="D40" s="40"/>
      <c r="E40" s="40"/>
      <c r="F40" s="40"/>
      <c r="G40" s="40"/>
      <c r="H40" s="40"/>
      <c r="L40" s="127"/>
    </row>
    <row r="41" spans="1:12" x14ac:dyDescent="0.2">
      <c r="A41" s="41"/>
      <c r="B41" s="121"/>
      <c r="C41" s="121"/>
      <c r="D41" s="121"/>
      <c r="E41" s="121"/>
      <c r="F41" s="121"/>
      <c r="G41" s="121"/>
      <c r="H41" s="121"/>
    </row>
    <row r="42" spans="1:12" x14ac:dyDescent="0.2">
      <c r="A42" s="41"/>
      <c r="B42" s="121"/>
      <c r="C42" s="121"/>
      <c r="D42" s="122"/>
      <c r="E42" s="121"/>
      <c r="F42" s="121"/>
      <c r="G42" s="121"/>
      <c r="H42" s="121"/>
    </row>
    <row r="43" spans="1:12" x14ac:dyDescent="0.2">
      <c r="A43" s="41"/>
      <c r="B43" s="121"/>
      <c r="C43" s="121"/>
      <c r="D43" s="121"/>
      <c r="E43" s="121"/>
      <c r="F43" s="121"/>
      <c r="G43" s="121"/>
      <c r="H43" s="121"/>
    </row>
    <row r="44" spans="1:12" x14ac:dyDescent="0.2">
      <c r="A44" s="41"/>
      <c r="B44" s="121"/>
      <c r="C44" s="121"/>
      <c r="D44" s="121"/>
      <c r="E44" s="121"/>
      <c r="F44" s="121"/>
      <c r="G44" s="121"/>
      <c r="H44" s="121"/>
    </row>
    <row r="45" spans="1:12" x14ac:dyDescent="0.2">
      <c r="A45" s="41"/>
      <c r="B45" s="121"/>
      <c r="C45" s="121"/>
      <c r="D45" s="121"/>
      <c r="E45" s="121"/>
      <c r="F45" s="121"/>
      <c r="G45" s="121"/>
      <c r="H45" s="121"/>
    </row>
    <row r="46" spans="1:12" x14ac:dyDescent="0.2">
      <c r="A46" s="41"/>
      <c r="B46" s="121"/>
      <c r="C46" s="121"/>
      <c r="D46" s="121"/>
      <c r="E46" s="121"/>
      <c r="F46" s="121"/>
      <c r="G46" s="121"/>
      <c r="H46" s="121"/>
    </row>
    <row r="47" spans="1:12" x14ac:dyDescent="0.2">
      <c r="A47" s="41"/>
      <c r="B47" s="121"/>
      <c r="C47" s="121"/>
      <c r="D47" s="121"/>
      <c r="E47" s="121"/>
      <c r="F47" s="121"/>
      <c r="G47" s="121"/>
      <c r="H47" s="121"/>
    </row>
    <row r="48" spans="1:12" x14ac:dyDescent="0.2">
      <c r="A48" s="41"/>
      <c r="B48" s="121"/>
      <c r="C48" s="121"/>
      <c r="D48" s="121"/>
      <c r="E48" s="121"/>
      <c r="F48" s="121"/>
      <c r="G48" s="121"/>
      <c r="H48" s="121"/>
    </row>
    <row r="49" spans="1:9" x14ac:dyDescent="0.2">
      <c r="A49" s="41"/>
      <c r="B49" s="121"/>
      <c r="C49" s="121"/>
      <c r="D49" s="121"/>
      <c r="E49" s="121"/>
      <c r="F49" s="121"/>
      <c r="G49" s="121"/>
      <c r="H49" s="121"/>
    </row>
    <row r="50" spans="1:9" x14ac:dyDescent="0.2">
      <c r="A50" s="41"/>
      <c r="B50" s="121"/>
      <c r="C50" s="121"/>
      <c r="D50" s="121"/>
      <c r="E50" s="121"/>
      <c r="F50" s="121"/>
      <c r="G50" s="121"/>
      <c r="H50" s="121"/>
    </row>
    <row r="51" spans="1:9" x14ac:dyDescent="0.2">
      <c r="A51" s="41"/>
      <c r="B51" s="121"/>
      <c r="C51" s="121"/>
      <c r="D51" s="121"/>
      <c r="E51" s="121"/>
      <c r="F51" s="121"/>
      <c r="G51" s="121"/>
      <c r="H51" s="121"/>
    </row>
    <row r="52" spans="1:9" x14ac:dyDescent="0.2">
      <c r="A52" s="41"/>
      <c r="B52" s="121"/>
      <c r="C52" s="121"/>
      <c r="D52" s="121"/>
      <c r="E52" s="121"/>
      <c r="F52" s="121"/>
      <c r="G52" s="121"/>
      <c r="H52" s="121"/>
      <c r="I52" s="1"/>
    </row>
    <row r="53" spans="1:9" x14ac:dyDescent="0.2">
      <c r="A53" s="41"/>
      <c r="B53" s="121"/>
      <c r="C53" s="121"/>
      <c r="D53" s="121"/>
      <c r="E53" s="121"/>
      <c r="F53" s="121"/>
      <c r="G53" s="121"/>
      <c r="H53" s="121"/>
    </row>
    <row r="54" spans="1:9" x14ac:dyDescent="0.2">
      <c r="A54" s="41"/>
      <c r="B54" s="121"/>
      <c r="C54" s="121"/>
      <c r="D54" s="121"/>
      <c r="E54" s="121"/>
      <c r="F54" s="121"/>
      <c r="G54" s="121"/>
      <c r="H54" s="121"/>
    </row>
    <row r="55" spans="1:9" x14ac:dyDescent="0.2">
      <c r="A55" s="140"/>
      <c r="B55" s="123"/>
      <c r="C55" s="123"/>
      <c r="D55" s="123"/>
      <c r="E55" s="123"/>
      <c r="F55" s="123"/>
      <c r="G55" s="123"/>
      <c r="H55" s="123"/>
    </row>
    <row r="56" spans="1:9" x14ac:dyDescent="0.2">
      <c r="B56" s="1"/>
      <c r="C56" s="1"/>
      <c r="D56" s="1"/>
      <c r="E56" s="1"/>
      <c r="F56" s="1"/>
      <c r="G56" s="1"/>
      <c r="H56" s="1"/>
    </row>
    <row r="57" spans="1:9" x14ac:dyDescent="0.2">
      <c r="B57" s="1"/>
      <c r="C57" s="1"/>
      <c r="D57" s="1"/>
      <c r="E57" s="1"/>
      <c r="F57" s="1"/>
      <c r="G57" s="1"/>
      <c r="H57" s="1"/>
    </row>
  </sheetData>
  <mergeCells count="2">
    <mergeCell ref="A2:L2"/>
    <mergeCell ref="A4:A5"/>
  </mergeCells>
  <phoneticPr fontId="39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>
    <oddHeader>&amp;R3.1. sz. melléklet
..../2021.(II.15.) Egyek Önk.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3"/>
  <sheetViews>
    <sheetView topLeftCell="A7" zoomScaleNormal="100" zoomScaleSheetLayoutView="100" workbookViewId="0">
      <selection activeCell="L10" sqref="L10"/>
    </sheetView>
  </sheetViews>
  <sheetFormatPr defaultRowHeight="12.75" x14ac:dyDescent="0.2"/>
  <cols>
    <col min="1" max="1" width="49" customWidth="1"/>
    <col min="2" max="2" width="15.7109375" customWidth="1"/>
    <col min="3" max="3" width="17.28515625" customWidth="1"/>
    <col min="4" max="4" width="21" customWidth="1"/>
    <col min="5" max="5" width="17.5703125" customWidth="1"/>
    <col min="6" max="7" width="18" customWidth="1"/>
    <col min="8" max="8" width="16.42578125" customWidth="1"/>
    <col min="9" max="9" width="15.7109375" customWidth="1"/>
    <col min="10" max="10" width="15.140625" customWidth="1"/>
    <col min="11" max="11" width="16.7109375" customWidth="1"/>
    <col min="12" max="12" width="17.28515625" customWidth="1"/>
    <col min="13" max="13" width="13.7109375" style="564" bestFit="1" customWidth="1"/>
  </cols>
  <sheetData>
    <row r="2" spans="1:13" ht="15.75" x14ac:dyDescent="0.25">
      <c r="A2" s="917" t="s">
        <v>499</v>
      </c>
      <c r="B2" s="918"/>
      <c r="C2" s="918"/>
      <c r="D2" s="918"/>
      <c r="E2" s="918"/>
      <c r="F2" s="918"/>
      <c r="G2" s="918"/>
      <c r="H2" s="918"/>
      <c r="I2" s="919"/>
      <c r="J2" s="919"/>
      <c r="K2" s="919"/>
      <c r="L2" s="919"/>
    </row>
    <row r="3" spans="1:13" x14ac:dyDescent="0.2">
      <c r="L3" s="247"/>
    </row>
    <row r="4" spans="1:13" x14ac:dyDescent="0.2">
      <c r="E4" s="2"/>
      <c r="J4" s="127"/>
      <c r="L4" s="3"/>
    </row>
    <row r="5" spans="1:13" ht="13.5" thickBot="1" x14ac:dyDescent="0.25"/>
    <row r="6" spans="1:13" ht="102" customHeight="1" thickBot="1" x14ac:dyDescent="0.25">
      <c r="A6" s="870" t="s">
        <v>169</v>
      </c>
      <c r="B6" s="156" t="s">
        <v>188</v>
      </c>
      <c r="C6" s="156" t="s">
        <v>199</v>
      </c>
      <c r="D6" s="156" t="s">
        <v>190</v>
      </c>
      <c r="E6" s="156" t="s">
        <v>200</v>
      </c>
      <c r="F6" s="156" t="s">
        <v>196</v>
      </c>
      <c r="G6" s="156" t="s">
        <v>390</v>
      </c>
      <c r="H6" s="156" t="s">
        <v>192</v>
      </c>
      <c r="I6" s="156" t="s">
        <v>193</v>
      </c>
      <c r="J6" s="156" t="s">
        <v>194</v>
      </c>
      <c r="K6" s="156" t="s">
        <v>202</v>
      </c>
      <c r="L6" s="157" t="s">
        <v>41</v>
      </c>
      <c r="M6"/>
    </row>
    <row r="7" spans="1:13" ht="21" customHeight="1" thickBot="1" x14ac:dyDescent="0.25">
      <c r="A7" s="871"/>
      <c r="B7" s="35" t="s">
        <v>482</v>
      </c>
      <c r="C7" s="35" t="s">
        <v>482</v>
      </c>
      <c r="D7" s="35" t="s">
        <v>482</v>
      </c>
      <c r="E7" s="35" t="s">
        <v>482</v>
      </c>
      <c r="F7" s="35" t="s">
        <v>482</v>
      </c>
      <c r="G7" s="35" t="s">
        <v>482</v>
      </c>
      <c r="H7" s="35" t="s">
        <v>482</v>
      </c>
      <c r="I7" s="35" t="s">
        <v>482</v>
      </c>
      <c r="J7" s="35" t="s">
        <v>482</v>
      </c>
      <c r="K7" s="35" t="s">
        <v>482</v>
      </c>
      <c r="L7" s="35" t="s">
        <v>482</v>
      </c>
      <c r="M7"/>
    </row>
    <row r="8" spans="1:13" ht="21" customHeight="1" thickBot="1" x14ac:dyDescent="0.25">
      <c r="A8" s="809" t="s">
        <v>549</v>
      </c>
      <c r="B8" s="91">
        <v>21032950</v>
      </c>
      <c r="C8" s="91">
        <v>2973000</v>
      </c>
      <c r="D8" s="126">
        <v>20286000</v>
      </c>
      <c r="E8" s="126"/>
      <c r="F8" s="91">
        <v>6751424</v>
      </c>
      <c r="G8" s="91">
        <v>20000000</v>
      </c>
      <c r="H8" s="91">
        <v>80000</v>
      </c>
      <c r="I8" s="126"/>
      <c r="J8" s="126"/>
      <c r="K8" s="91"/>
      <c r="L8" s="203">
        <f>SUM(B8:K8)</f>
        <v>71123374</v>
      </c>
      <c r="M8"/>
    </row>
    <row r="9" spans="1:13" ht="21" customHeight="1" thickBot="1" x14ac:dyDescent="0.25">
      <c r="A9" s="809" t="s">
        <v>178</v>
      </c>
      <c r="B9" s="91"/>
      <c r="C9" s="91"/>
      <c r="D9" s="126">
        <v>616000</v>
      </c>
      <c r="E9" s="126"/>
      <c r="F9" s="91">
        <v>5000000</v>
      </c>
      <c r="G9" s="91"/>
      <c r="H9" s="91"/>
      <c r="I9" s="126"/>
      <c r="J9" s="126"/>
      <c r="K9" s="91"/>
      <c r="L9" s="203">
        <f t="shared" ref="L9:L33" si="0">SUM(B9:K9)</f>
        <v>5616000</v>
      </c>
      <c r="M9"/>
    </row>
    <row r="10" spans="1:13" ht="31.5" customHeight="1" thickBot="1" x14ac:dyDescent="0.25">
      <c r="A10" s="810" t="s">
        <v>171</v>
      </c>
      <c r="B10" s="91"/>
      <c r="C10" s="91"/>
      <c r="D10" s="126">
        <v>90886847</v>
      </c>
      <c r="E10" s="126"/>
      <c r="F10" s="91"/>
      <c r="G10" s="91"/>
      <c r="H10" s="91">
        <v>134402379</v>
      </c>
      <c r="I10" s="126">
        <f>'önkormányzat kiadásai 3.1. '!I8</f>
        <v>17359253</v>
      </c>
      <c r="J10" s="126"/>
      <c r="K10" s="91"/>
      <c r="L10" s="203">
        <f>SUM(B10:K10)</f>
        <v>242648479</v>
      </c>
      <c r="M10"/>
    </row>
    <row r="11" spans="1:13" ht="31.5" customHeight="1" thickBot="1" x14ac:dyDescent="0.25">
      <c r="A11" s="810" t="s">
        <v>365</v>
      </c>
      <c r="B11" s="91"/>
      <c r="C11" s="91"/>
      <c r="D11" s="126"/>
      <c r="E11" s="126"/>
      <c r="F11" s="91">
        <v>9000</v>
      </c>
      <c r="G11" s="91"/>
      <c r="H11" s="91"/>
      <c r="I11" s="126"/>
      <c r="J11" s="126"/>
      <c r="K11" s="91">
        <v>11674851</v>
      </c>
      <c r="L11" s="203">
        <f t="shared" si="0"/>
        <v>11683851</v>
      </c>
      <c r="M11"/>
    </row>
    <row r="12" spans="1:13" ht="31.5" customHeight="1" thickBot="1" x14ac:dyDescent="0.25">
      <c r="A12" s="810" t="s">
        <v>388</v>
      </c>
      <c r="B12" s="91"/>
      <c r="C12" s="91"/>
      <c r="D12" s="126"/>
      <c r="E12" s="126"/>
      <c r="F12" s="91">
        <v>31816000</v>
      </c>
      <c r="G12" s="91"/>
      <c r="H12" s="91"/>
      <c r="I12" s="126"/>
      <c r="J12" s="126"/>
      <c r="K12" s="91"/>
      <c r="L12" s="203">
        <f t="shared" si="0"/>
        <v>31816000</v>
      </c>
      <c r="M12"/>
    </row>
    <row r="13" spans="1:13" ht="21" customHeight="1" thickBot="1" x14ac:dyDescent="0.25">
      <c r="A13" s="811" t="s">
        <v>205</v>
      </c>
      <c r="B13" s="91"/>
      <c r="C13" s="91"/>
      <c r="D13" s="126"/>
      <c r="E13" s="126"/>
      <c r="F13" s="91">
        <v>10309860</v>
      </c>
      <c r="G13" s="91"/>
      <c r="H13" s="91"/>
      <c r="I13" s="126"/>
      <c r="J13" s="91"/>
      <c r="K13" s="91"/>
      <c r="L13" s="203">
        <f t="shared" si="0"/>
        <v>10309860</v>
      </c>
      <c r="M13"/>
    </row>
    <row r="14" spans="1:13" ht="21" customHeight="1" thickBot="1" x14ac:dyDescent="0.25">
      <c r="A14" s="809" t="s">
        <v>528</v>
      </c>
      <c r="B14" s="91"/>
      <c r="C14" s="91"/>
      <c r="D14" s="126">
        <v>523875</v>
      </c>
      <c r="E14" s="126"/>
      <c r="F14" s="91"/>
      <c r="G14" s="91"/>
      <c r="H14" s="91"/>
      <c r="I14" s="126"/>
      <c r="J14" s="91"/>
      <c r="K14" s="91"/>
      <c r="L14" s="203">
        <f t="shared" si="0"/>
        <v>523875</v>
      </c>
      <c r="M14"/>
    </row>
    <row r="15" spans="1:13" ht="21" customHeight="1" thickBot="1" x14ac:dyDescent="0.25">
      <c r="A15" s="809" t="s">
        <v>177</v>
      </c>
      <c r="B15" s="91">
        <v>287060251</v>
      </c>
      <c r="C15" s="91">
        <v>22470000</v>
      </c>
      <c r="D15" s="126">
        <v>58937733</v>
      </c>
      <c r="E15" s="126"/>
      <c r="F15" s="91">
        <v>20782100</v>
      </c>
      <c r="G15" s="91"/>
      <c r="H15" s="91">
        <v>73586186</v>
      </c>
      <c r="I15" s="126"/>
      <c r="J15" s="126"/>
      <c r="K15" s="91"/>
      <c r="L15" s="203">
        <f t="shared" si="0"/>
        <v>462836270</v>
      </c>
      <c r="M15"/>
    </row>
    <row r="16" spans="1:13" ht="21" customHeight="1" thickBot="1" x14ac:dyDescent="0.25">
      <c r="A16" s="809" t="s">
        <v>367</v>
      </c>
      <c r="B16" s="91"/>
      <c r="C16" s="91"/>
      <c r="D16" s="126">
        <v>9642000</v>
      </c>
      <c r="E16" s="126"/>
      <c r="F16" s="91"/>
      <c r="G16" s="91"/>
      <c r="H16" s="91">
        <v>254000</v>
      </c>
      <c r="I16" s="126"/>
      <c r="J16" s="126"/>
      <c r="K16" s="91"/>
      <c r="L16" s="203">
        <f t="shared" si="0"/>
        <v>9896000</v>
      </c>
      <c r="M16"/>
    </row>
    <row r="17" spans="1:13" s="137" customFormat="1" ht="21" customHeight="1" thickBot="1" x14ac:dyDescent="0.25">
      <c r="A17" s="811" t="s">
        <v>291</v>
      </c>
      <c r="B17" s="91"/>
      <c r="C17" s="91"/>
      <c r="D17" s="126">
        <v>11737000</v>
      </c>
      <c r="E17" s="126"/>
      <c r="F17" s="91"/>
      <c r="G17" s="91"/>
      <c r="H17" s="91"/>
      <c r="I17" s="126"/>
      <c r="J17" s="126"/>
      <c r="K17" s="91"/>
      <c r="L17" s="203">
        <f t="shared" si="0"/>
        <v>11737000</v>
      </c>
    </row>
    <row r="18" spans="1:13" s="137" customFormat="1" ht="21" customHeight="1" thickBot="1" x14ac:dyDescent="0.25">
      <c r="A18" s="814" t="s">
        <v>550</v>
      </c>
      <c r="B18" s="91"/>
      <c r="C18" s="91"/>
      <c r="D18" s="126">
        <v>2596890</v>
      </c>
      <c r="E18" s="126"/>
      <c r="F18" s="91"/>
      <c r="G18" s="91"/>
      <c r="H18" s="91">
        <v>5804330</v>
      </c>
      <c r="I18" s="126"/>
      <c r="J18" s="126"/>
      <c r="K18" s="91"/>
      <c r="L18" s="203">
        <f t="shared" si="0"/>
        <v>8401220</v>
      </c>
    </row>
    <row r="19" spans="1:13" s="137" customFormat="1" ht="21" customHeight="1" thickBot="1" x14ac:dyDescent="0.25">
      <c r="A19" s="814" t="s">
        <v>530</v>
      </c>
      <c r="B19" s="91"/>
      <c r="C19" s="91"/>
      <c r="D19" s="126">
        <v>1657350</v>
      </c>
      <c r="E19" s="126"/>
      <c r="F19" s="91"/>
      <c r="G19" s="91"/>
      <c r="H19" s="91">
        <v>2606548</v>
      </c>
      <c r="I19" s="126"/>
      <c r="J19" s="126"/>
      <c r="K19" s="91"/>
      <c r="L19" s="203">
        <f t="shared" si="0"/>
        <v>4263898</v>
      </c>
    </row>
    <row r="20" spans="1:13" s="137" customFormat="1" ht="21" customHeight="1" thickBot="1" x14ac:dyDescent="0.25">
      <c r="A20" s="815" t="s">
        <v>370</v>
      </c>
      <c r="B20" s="91"/>
      <c r="C20" s="91"/>
      <c r="D20" s="126">
        <v>55800042</v>
      </c>
      <c r="E20" s="126"/>
      <c r="F20" s="91">
        <v>10000</v>
      </c>
      <c r="G20" s="91"/>
      <c r="H20" s="91">
        <v>94035364</v>
      </c>
      <c r="I20" s="126"/>
      <c r="J20" s="126"/>
      <c r="K20" s="91"/>
      <c r="L20" s="203">
        <f t="shared" si="0"/>
        <v>149845406</v>
      </c>
    </row>
    <row r="21" spans="1:13" s="137" customFormat="1" ht="21" customHeight="1" thickBot="1" x14ac:dyDescent="0.25">
      <c r="A21" s="815" t="s">
        <v>531</v>
      </c>
      <c r="B21" s="91"/>
      <c r="C21" s="91"/>
      <c r="D21" s="126">
        <v>500000</v>
      </c>
      <c r="E21" s="126"/>
      <c r="F21" s="91"/>
      <c r="G21" s="91"/>
      <c r="H21" s="91">
        <v>23592470</v>
      </c>
      <c r="I21" s="126"/>
      <c r="J21" s="126"/>
      <c r="K21" s="91"/>
      <c r="L21" s="203">
        <f t="shared" si="0"/>
        <v>24092470</v>
      </c>
    </row>
    <row r="22" spans="1:13" s="137" customFormat="1" ht="21" customHeight="1" thickBot="1" x14ac:dyDescent="0.25">
      <c r="A22" s="810" t="s">
        <v>204</v>
      </c>
      <c r="B22" s="91"/>
      <c r="C22" s="91"/>
      <c r="D22" s="126">
        <v>15592000</v>
      </c>
      <c r="E22" s="126"/>
      <c r="F22" s="91"/>
      <c r="G22" s="91"/>
      <c r="H22" s="91"/>
      <c r="I22" s="126"/>
      <c r="J22" s="126"/>
      <c r="K22" s="91"/>
      <c r="L22" s="203">
        <f t="shared" si="0"/>
        <v>15592000</v>
      </c>
    </row>
    <row r="23" spans="1:13" s="137" customFormat="1" ht="21" customHeight="1" thickBot="1" x14ac:dyDescent="0.25">
      <c r="A23" s="811" t="s">
        <v>172</v>
      </c>
      <c r="B23" s="91"/>
      <c r="C23" s="91"/>
      <c r="D23" s="126">
        <v>49781920</v>
      </c>
      <c r="E23" s="126"/>
      <c r="F23" s="91"/>
      <c r="G23" s="91"/>
      <c r="H23" s="91"/>
      <c r="I23" s="126"/>
      <c r="J23" s="126"/>
      <c r="K23" s="91"/>
      <c r="L23" s="203">
        <f t="shared" si="0"/>
        <v>49781920</v>
      </c>
    </row>
    <row r="24" spans="1:13" ht="21" customHeight="1" thickBot="1" x14ac:dyDescent="0.25">
      <c r="A24" s="811" t="s">
        <v>206</v>
      </c>
      <c r="B24" s="91">
        <v>960000</v>
      </c>
      <c r="C24" s="91">
        <v>149000</v>
      </c>
      <c r="D24" s="126">
        <v>3400000</v>
      </c>
      <c r="E24" s="126"/>
      <c r="F24" s="91"/>
      <c r="G24" s="91"/>
      <c r="H24" s="91"/>
      <c r="I24" s="126"/>
      <c r="J24" s="91"/>
      <c r="K24" s="91"/>
      <c r="L24" s="203">
        <f t="shared" si="0"/>
        <v>4509000</v>
      </c>
      <c r="M24"/>
    </row>
    <row r="25" spans="1:13" ht="21" customHeight="1" thickBot="1" x14ac:dyDescent="0.25">
      <c r="A25" s="811" t="s">
        <v>207</v>
      </c>
      <c r="B25" s="91"/>
      <c r="C25" s="91"/>
      <c r="D25" s="126">
        <v>11401000</v>
      </c>
      <c r="E25" s="126"/>
      <c r="F25" s="91"/>
      <c r="G25" s="91"/>
      <c r="H25" s="91"/>
      <c r="I25" s="126"/>
      <c r="J25" s="91"/>
      <c r="K25" s="91"/>
      <c r="L25" s="203">
        <f t="shared" si="0"/>
        <v>11401000</v>
      </c>
      <c r="M25"/>
    </row>
    <row r="26" spans="1:13" ht="40.5" customHeight="1" thickBot="1" x14ac:dyDescent="0.25">
      <c r="A26" s="810" t="s">
        <v>551</v>
      </c>
      <c r="B26" s="91"/>
      <c r="C26" s="91"/>
      <c r="D26" s="126">
        <v>1500000</v>
      </c>
      <c r="E26" s="126"/>
      <c r="F26" s="91"/>
      <c r="G26" s="91"/>
      <c r="H26" s="91"/>
      <c r="I26" s="126"/>
      <c r="J26" s="91"/>
      <c r="K26" s="91"/>
      <c r="L26" s="203">
        <f t="shared" si="0"/>
        <v>1500000</v>
      </c>
      <c r="M26"/>
    </row>
    <row r="27" spans="1:13" ht="21" customHeight="1" thickBot="1" x14ac:dyDescent="0.25">
      <c r="A27" s="809" t="s">
        <v>389</v>
      </c>
      <c r="B27" s="91"/>
      <c r="C27" s="91"/>
      <c r="D27" s="126">
        <v>9741000</v>
      </c>
      <c r="E27" s="126"/>
      <c r="F27" s="91"/>
      <c r="G27" s="91"/>
      <c r="H27" s="91"/>
      <c r="I27" s="126"/>
      <c r="J27" s="126"/>
      <c r="K27" s="91"/>
      <c r="L27" s="203">
        <f t="shared" si="0"/>
        <v>9741000</v>
      </c>
      <c r="M27"/>
    </row>
    <row r="28" spans="1:13" ht="21" customHeight="1" thickBot="1" x14ac:dyDescent="0.25">
      <c r="A28" s="809" t="s">
        <v>292</v>
      </c>
      <c r="B28" s="91"/>
      <c r="C28" s="91"/>
      <c r="D28" s="126"/>
      <c r="E28" s="126">
        <v>50000</v>
      </c>
      <c r="F28" s="91"/>
      <c r="G28" s="91"/>
      <c r="H28" s="91"/>
      <c r="I28" s="126"/>
      <c r="J28" s="126"/>
      <c r="K28" s="91"/>
      <c r="L28" s="203">
        <f t="shared" si="0"/>
        <v>50000</v>
      </c>
      <c r="M28"/>
    </row>
    <row r="29" spans="1:13" ht="28.5" customHeight="1" thickBot="1" x14ac:dyDescent="0.25">
      <c r="A29" s="813" t="s">
        <v>170</v>
      </c>
      <c r="B29" s="91"/>
      <c r="C29" s="91"/>
      <c r="D29" s="126">
        <v>635000</v>
      </c>
      <c r="E29" s="126"/>
      <c r="F29" s="91">
        <v>15392376</v>
      </c>
      <c r="G29" s="91"/>
      <c r="H29" s="91"/>
      <c r="I29" s="126"/>
      <c r="J29" s="126"/>
      <c r="K29" s="91"/>
      <c r="L29" s="203">
        <f t="shared" si="0"/>
        <v>16027376</v>
      </c>
      <c r="M29"/>
    </row>
    <row r="30" spans="1:13" ht="21" customHeight="1" thickBot="1" x14ac:dyDescent="0.25">
      <c r="A30" s="809" t="s">
        <v>209</v>
      </c>
      <c r="B30" s="91"/>
      <c r="C30" s="91"/>
      <c r="D30" s="126">
        <v>100000</v>
      </c>
      <c r="E30" s="126">
        <v>6500000</v>
      </c>
      <c r="F30" s="91">
        <v>3000000</v>
      </c>
      <c r="G30" s="91"/>
      <c r="H30" s="91"/>
      <c r="I30" s="126"/>
      <c r="J30" s="126"/>
      <c r="K30" s="91"/>
      <c r="L30" s="203">
        <f t="shared" si="0"/>
        <v>9600000</v>
      </c>
      <c r="M30"/>
    </row>
    <row r="31" spans="1:13" ht="35.25" customHeight="1" thickBot="1" x14ac:dyDescent="0.25">
      <c r="A31" s="812" t="s">
        <v>446</v>
      </c>
      <c r="B31" s="91">
        <v>7955291</v>
      </c>
      <c r="C31" s="91">
        <v>1433910</v>
      </c>
      <c r="D31" s="126">
        <v>25927056</v>
      </c>
      <c r="E31" s="126"/>
      <c r="F31" s="91">
        <v>1061400</v>
      </c>
      <c r="G31" s="91"/>
      <c r="H31" s="91">
        <v>1870992</v>
      </c>
      <c r="I31" s="126">
        <v>3590464</v>
      </c>
      <c r="J31" s="126"/>
      <c r="K31" s="91"/>
      <c r="L31" s="203">
        <f t="shared" si="0"/>
        <v>41839113</v>
      </c>
      <c r="M31"/>
    </row>
    <row r="32" spans="1:13" ht="30.75" customHeight="1" thickBot="1" x14ac:dyDescent="0.25">
      <c r="A32" s="810" t="s">
        <v>175</v>
      </c>
      <c r="B32" s="91"/>
      <c r="C32" s="91"/>
      <c r="D32" s="126">
        <v>5100000</v>
      </c>
      <c r="E32" s="126"/>
      <c r="F32" s="91"/>
      <c r="G32" s="91"/>
      <c r="H32" s="91"/>
      <c r="I32" s="126"/>
      <c r="J32" s="91"/>
      <c r="K32" s="91">
        <v>58574565</v>
      </c>
      <c r="L32" s="203">
        <f t="shared" si="0"/>
        <v>63674565</v>
      </c>
      <c r="M32"/>
    </row>
    <row r="33" spans="1:13" ht="21" customHeight="1" thickBot="1" x14ac:dyDescent="0.25">
      <c r="A33" s="131" t="s">
        <v>30</v>
      </c>
      <c r="B33" s="138">
        <f t="shared" ref="B33:K33" si="1">SUM(B8:B32)</f>
        <v>317008492</v>
      </c>
      <c r="C33" s="138">
        <f t="shared" si="1"/>
        <v>27025910</v>
      </c>
      <c r="D33" s="138">
        <f t="shared" si="1"/>
        <v>376361713</v>
      </c>
      <c r="E33" s="138">
        <f t="shared" si="1"/>
        <v>6550000</v>
      </c>
      <c r="F33" s="138">
        <f t="shared" si="1"/>
        <v>94132160</v>
      </c>
      <c r="G33" s="138">
        <f t="shared" si="1"/>
        <v>20000000</v>
      </c>
      <c r="H33" s="138">
        <f t="shared" si="1"/>
        <v>336232269</v>
      </c>
      <c r="I33" s="138">
        <f t="shared" si="1"/>
        <v>20949717</v>
      </c>
      <c r="J33" s="138">
        <f t="shared" si="1"/>
        <v>0</v>
      </c>
      <c r="K33" s="138">
        <f t="shared" si="1"/>
        <v>70249416</v>
      </c>
      <c r="L33" s="203">
        <f t="shared" si="0"/>
        <v>1268509677</v>
      </c>
      <c r="M33"/>
    </row>
  </sheetData>
  <mergeCells count="2">
    <mergeCell ref="A2:L2"/>
    <mergeCell ref="A6:A7"/>
  </mergeCells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>
    <oddHeader>&amp;R3.1. sz. melléklet
..../2021.(II.15.) Egyek Önk.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zoomScaleNormal="100" workbookViewId="0">
      <selection activeCell="C11" sqref="C11"/>
    </sheetView>
  </sheetViews>
  <sheetFormatPr defaultRowHeight="12.75" x14ac:dyDescent="0.2"/>
  <cols>
    <col min="1" max="1" width="49" customWidth="1"/>
    <col min="2" max="2" width="15.7109375" customWidth="1"/>
    <col min="3" max="3" width="17.28515625" customWidth="1"/>
    <col min="4" max="4" width="21" customWidth="1"/>
    <col min="5" max="5" width="17.5703125" customWidth="1"/>
    <col min="6" max="7" width="18" customWidth="1"/>
    <col min="8" max="8" width="16.42578125" customWidth="1"/>
    <col min="9" max="9" width="15.7109375" customWidth="1"/>
    <col min="10" max="10" width="15.140625" customWidth="1"/>
    <col min="11" max="11" width="16.7109375" customWidth="1"/>
    <col min="12" max="12" width="17.28515625" customWidth="1"/>
  </cols>
  <sheetData>
    <row r="2" spans="1:12" ht="15.75" x14ac:dyDescent="0.25">
      <c r="A2" s="917" t="s">
        <v>500</v>
      </c>
      <c r="B2" s="918"/>
      <c r="C2" s="918"/>
      <c r="D2" s="918"/>
      <c r="E2" s="918"/>
      <c r="F2" s="918"/>
      <c r="G2" s="918"/>
      <c r="H2" s="918"/>
      <c r="I2" s="919"/>
      <c r="J2" s="919"/>
      <c r="K2" s="919"/>
      <c r="L2" s="919"/>
    </row>
    <row r="3" spans="1:12" x14ac:dyDescent="0.2">
      <c r="L3" s="247"/>
    </row>
    <row r="4" spans="1:12" x14ac:dyDescent="0.2">
      <c r="E4" s="2"/>
      <c r="J4" s="127"/>
      <c r="L4" s="3"/>
    </row>
    <row r="5" spans="1:12" ht="13.5" thickBot="1" x14ac:dyDescent="0.25"/>
    <row r="6" spans="1:12" ht="102" customHeight="1" thickBot="1" x14ac:dyDescent="0.25">
      <c r="A6" s="870" t="s">
        <v>169</v>
      </c>
      <c r="B6" s="156" t="s">
        <v>188</v>
      </c>
      <c r="C6" s="156" t="s">
        <v>199</v>
      </c>
      <c r="D6" s="156" t="s">
        <v>190</v>
      </c>
      <c r="E6" s="156" t="s">
        <v>200</v>
      </c>
      <c r="F6" s="156" t="s">
        <v>196</v>
      </c>
      <c r="G6" s="156" t="s">
        <v>390</v>
      </c>
      <c r="H6" s="156" t="s">
        <v>192</v>
      </c>
      <c r="I6" s="156" t="s">
        <v>193</v>
      </c>
      <c r="J6" s="156" t="s">
        <v>194</v>
      </c>
      <c r="K6" s="156" t="s">
        <v>202</v>
      </c>
      <c r="L6" s="157" t="s">
        <v>41</v>
      </c>
    </row>
    <row r="7" spans="1:12" ht="21" customHeight="1" thickBot="1" x14ac:dyDescent="0.25">
      <c r="A7" s="871"/>
      <c r="B7" s="35" t="s">
        <v>482</v>
      </c>
      <c r="C7" s="35" t="s">
        <v>482</v>
      </c>
      <c r="D7" s="35" t="s">
        <v>482</v>
      </c>
      <c r="E7" s="35" t="s">
        <v>482</v>
      </c>
      <c r="F7" s="35" t="s">
        <v>482</v>
      </c>
      <c r="G7" s="35" t="s">
        <v>482</v>
      </c>
      <c r="H7" s="35" t="s">
        <v>482</v>
      </c>
      <c r="I7" s="35" t="s">
        <v>482</v>
      </c>
      <c r="J7" s="35" t="s">
        <v>482</v>
      </c>
      <c r="K7" s="35" t="s">
        <v>482</v>
      </c>
      <c r="L7" s="35" t="s">
        <v>482</v>
      </c>
    </row>
    <row r="8" spans="1:12" ht="21" customHeight="1" thickBot="1" x14ac:dyDescent="0.25">
      <c r="A8" s="244" t="s">
        <v>210</v>
      </c>
      <c r="B8" s="732"/>
      <c r="C8" s="35"/>
      <c r="D8" s="733"/>
      <c r="E8" s="35"/>
      <c r="F8" s="35"/>
      <c r="G8" s="35"/>
      <c r="H8" s="35"/>
      <c r="I8" s="35"/>
      <c r="J8" s="35"/>
      <c r="K8" s="35"/>
      <c r="L8" s="203">
        <f t="shared" ref="L8:L16" si="0">SUM(B8:K8)</f>
        <v>0</v>
      </c>
    </row>
    <row r="9" spans="1:12" ht="31.5" customHeight="1" thickBot="1" x14ac:dyDescent="0.25">
      <c r="A9" s="721" t="s">
        <v>388</v>
      </c>
      <c r="B9" s="722"/>
      <c r="C9" s="126"/>
      <c r="D9" s="126"/>
      <c r="E9" s="126"/>
      <c r="F9" s="126">
        <v>12836000</v>
      </c>
      <c r="G9" s="126"/>
      <c r="H9" s="126"/>
      <c r="I9" s="126"/>
      <c r="J9" s="126"/>
      <c r="K9" s="126"/>
      <c r="L9" s="203">
        <f t="shared" si="0"/>
        <v>12836000</v>
      </c>
    </row>
    <row r="10" spans="1:12" s="137" customFormat="1" ht="21" customHeight="1" thickBot="1" x14ac:dyDescent="0.25">
      <c r="A10" s="723" t="s">
        <v>172</v>
      </c>
      <c r="B10" s="126">
        <v>2848200</v>
      </c>
      <c r="C10" s="126">
        <v>442000</v>
      </c>
      <c r="D10" s="126"/>
      <c r="E10" s="126"/>
      <c r="F10" s="126"/>
      <c r="G10" s="126"/>
      <c r="H10" s="126"/>
      <c r="I10" s="126"/>
      <c r="J10" s="126"/>
      <c r="K10" s="126"/>
      <c r="L10" s="203">
        <f t="shared" si="0"/>
        <v>3290200</v>
      </c>
    </row>
    <row r="11" spans="1:12" ht="21" customHeight="1" thickBot="1" x14ac:dyDescent="0.25">
      <c r="A11" s="723" t="s">
        <v>208</v>
      </c>
      <c r="B11" s="126"/>
      <c r="C11" s="126"/>
      <c r="D11" s="126">
        <v>16892000</v>
      </c>
      <c r="E11" s="126"/>
      <c r="F11" s="126"/>
      <c r="G11" s="126"/>
      <c r="H11" s="126"/>
      <c r="I11" s="126"/>
      <c r="J11" s="126"/>
      <c r="K11" s="126"/>
      <c r="L11" s="203">
        <f t="shared" si="0"/>
        <v>16892000</v>
      </c>
    </row>
    <row r="12" spans="1:12" ht="21" customHeight="1" thickBot="1" x14ac:dyDescent="0.25">
      <c r="A12" s="723" t="s">
        <v>203</v>
      </c>
      <c r="B12" s="126"/>
      <c r="C12" s="126"/>
      <c r="D12" s="126">
        <v>800000</v>
      </c>
      <c r="E12" s="126"/>
      <c r="F12" s="126"/>
      <c r="G12" s="126"/>
      <c r="H12" s="126"/>
      <c r="I12" s="126"/>
      <c r="J12" s="126"/>
      <c r="K12" s="126"/>
      <c r="L12" s="203">
        <f t="shared" si="0"/>
        <v>800000</v>
      </c>
    </row>
    <row r="13" spans="1:12" ht="21" customHeight="1" thickBot="1" x14ac:dyDescent="0.25">
      <c r="A13" s="244" t="s">
        <v>366</v>
      </c>
      <c r="B13" s="91"/>
      <c r="C13" s="91"/>
      <c r="D13" s="126">
        <v>7220000</v>
      </c>
      <c r="E13" s="126"/>
      <c r="F13" s="91"/>
      <c r="G13" s="91"/>
      <c r="H13" s="91"/>
      <c r="I13" s="126"/>
      <c r="J13" s="126"/>
      <c r="K13" s="91"/>
      <c r="L13" s="203">
        <f t="shared" si="0"/>
        <v>7220000</v>
      </c>
    </row>
    <row r="14" spans="1:12" ht="21" customHeight="1" thickBot="1" x14ac:dyDescent="0.25">
      <c r="A14" s="724" t="s">
        <v>292</v>
      </c>
      <c r="B14" s="126"/>
      <c r="C14" s="126"/>
      <c r="D14" s="126"/>
      <c r="E14" s="126">
        <v>575000</v>
      </c>
      <c r="F14" s="126"/>
      <c r="G14" s="126"/>
      <c r="H14" s="126"/>
      <c r="I14" s="126"/>
      <c r="J14" s="126"/>
      <c r="K14" s="126"/>
      <c r="L14" s="203">
        <f t="shared" si="0"/>
        <v>575000</v>
      </c>
    </row>
    <row r="15" spans="1:12" ht="21" customHeight="1" thickBot="1" x14ac:dyDescent="0.25">
      <c r="A15" s="724" t="s">
        <v>176</v>
      </c>
      <c r="B15" s="126">
        <v>4390295</v>
      </c>
      <c r="C15" s="126">
        <v>633500</v>
      </c>
      <c r="D15" s="126">
        <v>1321000</v>
      </c>
      <c r="E15" s="126"/>
      <c r="F15" s="126"/>
      <c r="G15" s="126"/>
      <c r="H15" s="126"/>
      <c r="I15" s="725"/>
      <c r="J15" s="725"/>
      <c r="K15" s="126"/>
      <c r="L15" s="203">
        <f t="shared" si="0"/>
        <v>6344795</v>
      </c>
    </row>
    <row r="16" spans="1:12" ht="21" customHeight="1" thickBot="1" x14ac:dyDescent="0.25">
      <c r="A16" s="724" t="s">
        <v>209</v>
      </c>
      <c r="B16" s="126"/>
      <c r="C16" s="126"/>
      <c r="D16" s="126"/>
      <c r="E16" s="126">
        <v>7300000</v>
      </c>
      <c r="F16" s="126">
        <v>400000</v>
      </c>
      <c r="G16" s="126"/>
      <c r="H16" s="126"/>
      <c r="I16" s="126"/>
      <c r="J16" s="126"/>
      <c r="K16" s="126"/>
      <c r="L16" s="203">
        <f t="shared" si="0"/>
        <v>7700000</v>
      </c>
    </row>
    <row r="17" spans="1:12" ht="21" customHeight="1" thickBot="1" x14ac:dyDescent="0.25">
      <c r="A17" s="131" t="s">
        <v>30</v>
      </c>
      <c r="B17" s="138">
        <f t="shared" ref="B17:K17" si="1">SUM(B9:B16)</f>
        <v>7238495</v>
      </c>
      <c r="C17" s="138">
        <f t="shared" si="1"/>
        <v>1075500</v>
      </c>
      <c r="D17" s="138">
        <f t="shared" si="1"/>
        <v>26233000</v>
      </c>
      <c r="E17" s="138">
        <f t="shared" si="1"/>
        <v>7875000</v>
      </c>
      <c r="F17" s="138">
        <f t="shared" si="1"/>
        <v>13236000</v>
      </c>
      <c r="G17" s="138">
        <f t="shared" si="1"/>
        <v>0</v>
      </c>
      <c r="H17" s="138">
        <f t="shared" si="1"/>
        <v>0</v>
      </c>
      <c r="I17" s="138">
        <f t="shared" si="1"/>
        <v>0</v>
      </c>
      <c r="J17" s="138">
        <f t="shared" si="1"/>
        <v>0</v>
      </c>
      <c r="K17" s="138">
        <f t="shared" si="1"/>
        <v>0</v>
      </c>
      <c r="L17" s="203">
        <f>SUM(L8:L16)</f>
        <v>55657995</v>
      </c>
    </row>
  </sheetData>
  <mergeCells count="2">
    <mergeCell ref="A2:L2"/>
    <mergeCell ref="A6:A7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 xml:space="preserve">&amp;R3/1. sz. melléklet
..../2021.(II.15.) Egyek Önk.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3:L34"/>
  <sheetViews>
    <sheetView zoomScaleNormal="100" workbookViewId="0">
      <selection activeCell="G25" sqref="G25"/>
    </sheetView>
  </sheetViews>
  <sheetFormatPr defaultRowHeight="12.75" x14ac:dyDescent="0.2"/>
  <cols>
    <col min="1" max="1" width="42.42578125" customWidth="1"/>
    <col min="2" max="2" width="15.7109375" customWidth="1"/>
    <col min="3" max="3" width="17.28515625" customWidth="1"/>
    <col min="4" max="4" width="21" customWidth="1"/>
    <col min="5" max="8" width="18" customWidth="1"/>
    <col min="9" max="9" width="12.5703125" customWidth="1"/>
    <col min="10" max="10" width="15.28515625" customWidth="1"/>
    <col min="11" max="11" width="14.28515625" customWidth="1"/>
    <col min="12" max="12" width="16.5703125" customWidth="1"/>
  </cols>
  <sheetData>
    <row r="3" spans="1:12" ht="15.75" x14ac:dyDescent="0.25">
      <c r="A3" s="917"/>
      <c r="B3" s="918"/>
      <c r="C3" s="918"/>
      <c r="D3" s="918"/>
      <c r="E3" s="918"/>
      <c r="F3" s="918"/>
      <c r="G3" s="918"/>
      <c r="H3" s="918"/>
      <c r="I3" s="919"/>
    </row>
    <row r="5" spans="1:12" ht="12.75" customHeight="1" x14ac:dyDescent="0.2">
      <c r="A5" s="922" t="s">
        <v>501</v>
      </c>
      <c r="B5" s="922"/>
      <c r="C5" s="922"/>
      <c r="D5" s="922"/>
      <c r="E5" s="922"/>
      <c r="F5" s="922"/>
      <c r="G5" s="922"/>
      <c r="H5" s="922"/>
      <c r="I5" s="922"/>
      <c r="J5" s="922"/>
      <c r="K5" s="922"/>
      <c r="L5" s="922"/>
    </row>
    <row r="6" spans="1:12" ht="12.75" customHeight="1" x14ac:dyDescent="0.2">
      <c r="A6" s="922"/>
      <c r="B6" s="922"/>
      <c r="C6" s="922"/>
      <c r="D6" s="922"/>
      <c r="E6" s="922"/>
      <c r="F6" s="922"/>
      <c r="G6" s="922"/>
      <c r="H6" s="922"/>
      <c r="I6" s="922"/>
      <c r="J6" s="922"/>
      <c r="K6" s="922"/>
      <c r="L6" s="922"/>
    </row>
    <row r="7" spans="1:12" ht="13.5" thickBot="1" x14ac:dyDescent="0.25">
      <c r="I7" s="247"/>
    </row>
    <row r="8" spans="1:12" ht="102" customHeight="1" thickBot="1" x14ac:dyDescent="0.25">
      <c r="A8" s="920" t="s">
        <v>169</v>
      </c>
      <c r="B8" s="545" t="s">
        <v>188</v>
      </c>
      <c r="C8" s="245" t="s">
        <v>199</v>
      </c>
      <c r="D8" s="245" t="s">
        <v>190</v>
      </c>
      <c r="E8" s="245" t="s">
        <v>200</v>
      </c>
      <c r="F8" s="245" t="s">
        <v>196</v>
      </c>
      <c r="G8" s="245" t="s">
        <v>201</v>
      </c>
      <c r="H8" s="245" t="s">
        <v>192</v>
      </c>
      <c r="I8" s="245" t="s">
        <v>193</v>
      </c>
      <c r="J8" s="245" t="s">
        <v>194</v>
      </c>
      <c r="K8" s="245" t="s">
        <v>202</v>
      </c>
      <c r="L8" s="246" t="s">
        <v>41</v>
      </c>
    </row>
    <row r="9" spans="1:12" ht="21" customHeight="1" thickBot="1" x14ac:dyDescent="0.25">
      <c r="A9" s="921"/>
      <c r="B9" s="35" t="s">
        <v>482</v>
      </c>
      <c r="C9" s="35" t="s">
        <v>482</v>
      </c>
      <c r="D9" s="35" t="s">
        <v>482</v>
      </c>
      <c r="E9" s="35" t="s">
        <v>482</v>
      </c>
      <c r="F9" s="35" t="s">
        <v>482</v>
      </c>
      <c r="G9" s="35" t="s">
        <v>482</v>
      </c>
      <c r="H9" s="35" t="s">
        <v>482</v>
      </c>
      <c r="I9" s="35" t="s">
        <v>482</v>
      </c>
      <c r="J9" s="35" t="s">
        <v>482</v>
      </c>
      <c r="K9" s="35" t="s">
        <v>482</v>
      </c>
      <c r="L9" s="35" t="s">
        <v>482</v>
      </c>
    </row>
    <row r="10" spans="1:12" ht="40.5" customHeight="1" x14ac:dyDescent="0.2">
      <c r="A10" s="546" t="s">
        <v>179</v>
      </c>
      <c r="B10" s="521">
        <v>96380410</v>
      </c>
      <c r="C10" s="521">
        <v>13825000</v>
      </c>
      <c r="D10" s="539">
        <v>19597000</v>
      </c>
      <c r="E10" s="521"/>
      <c r="F10" s="540"/>
      <c r="G10" s="540"/>
      <c r="H10" s="540">
        <v>13337000</v>
      </c>
      <c r="I10" s="541"/>
      <c r="J10" s="542"/>
      <c r="K10" s="543"/>
      <c r="L10" s="544">
        <f>SUM(B10:K10)</f>
        <v>143139410</v>
      </c>
    </row>
    <row r="11" spans="1:12" ht="21" customHeight="1" thickBot="1" x14ac:dyDescent="0.25">
      <c r="A11" s="547" t="s">
        <v>180</v>
      </c>
      <c r="B11" s="519">
        <v>9782850</v>
      </c>
      <c r="C11" s="519">
        <v>1520000</v>
      </c>
      <c r="D11" s="548"/>
      <c r="E11" s="519"/>
      <c r="F11" s="519"/>
      <c r="G11" s="519"/>
      <c r="H11" s="519"/>
      <c r="I11" s="549"/>
      <c r="J11" s="550"/>
      <c r="K11" s="551"/>
      <c r="L11" s="544">
        <f>SUM(B11:K11)</f>
        <v>11302850</v>
      </c>
    </row>
    <row r="12" spans="1:12" s="97" customFormat="1" ht="21" customHeight="1" thickBot="1" x14ac:dyDescent="0.25">
      <c r="A12" s="552" t="s">
        <v>30</v>
      </c>
      <c r="B12" s="553">
        <f t="shared" ref="B12:K12" si="0">SUM(B10:B11)</f>
        <v>106163260</v>
      </c>
      <c r="C12" s="553">
        <f t="shared" si="0"/>
        <v>15345000</v>
      </c>
      <c r="D12" s="553">
        <f t="shared" si="0"/>
        <v>19597000</v>
      </c>
      <c r="E12" s="554">
        <f t="shared" si="0"/>
        <v>0</v>
      </c>
      <c r="F12" s="554">
        <f t="shared" si="0"/>
        <v>0</v>
      </c>
      <c r="G12" s="554">
        <f t="shared" si="0"/>
        <v>0</v>
      </c>
      <c r="H12" s="554">
        <f t="shared" si="0"/>
        <v>13337000</v>
      </c>
      <c r="I12" s="555">
        <f t="shared" si="0"/>
        <v>0</v>
      </c>
      <c r="J12" s="556">
        <f t="shared" si="0"/>
        <v>0</v>
      </c>
      <c r="K12" s="557">
        <f t="shared" si="0"/>
        <v>0</v>
      </c>
      <c r="L12" s="537">
        <f>SUM(B12:K12)</f>
        <v>154442260</v>
      </c>
    </row>
    <row r="14" spans="1:12" x14ac:dyDescent="0.2">
      <c r="I14" s="2"/>
    </row>
    <row r="16" spans="1:12" x14ac:dyDescent="0.2">
      <c r="A16" s="36"/>
      <c r="B16" s="37"/>
      <c r="C16" s="37"/>
      <c r="D16" s="37" t="s">
        <v>139</v>
      </c>
      <c r="E16" s="37"/>
      <c r="F16" s="38"/>
      <c r="G16" s="38"/>
      <c r="H16" s="38"/>
    </row>
    <row r="17" spans="1:8" x14ac:dyDescent="0.2">
      <c r="A17" s="39"/>
      <c r="B17" s="40"/>
      <c r="C17" s="40"/>
      <c r="D17" s="40"/>
      <c r="E17" s="40"/>
      <c r="F17" s="40"/>
      <c r="G17" s="40"/>
      <c r="H17" s="40"/>
    </row>
    <row r="18" spans="1:8" x14ac:dyDescent="0.2">
      <c r="A18" s="41"/>
      <c r="B18" s="121"/>
      <c r="C18" s="121"/>
      <c r="D18" s="121"/>
      <c r="E18" s="121"/>
      <c r="F18" s="17"/>
      <c r="G18" s="17"/>
      <c r="H18" s="17"/>
    </row>
    <row r="19" spans="1:8" x14ac:dyDescent="0.2">
      <c r="A19" s="41"/>
      <c r="B19" s="121"/>
      <c r="C19" s="121"/>
      <c r="D19" s="122"/>
      <c r="E19" s="121"/>
      <c r="F19" s="17"/>
      <c r="G19" s="17"/>
      <c r="H19" s="17"/>
    </row>
    <row r="20" spans="1:8" x14ac:dyDescent="0.2">
      <c r="A20" s="41"/>
      <c r="B20" s="121"/>
      <c r="C20" s="121"/>
      <c r="D20" s="121"/>
      <c r="E20" s="121"/>
      <c r="F20" s="17"/>
      <c r="G20" s="17"/>
      <c r="H20" s="17"/>
    </row>
    <row r="21" spans="1:8" x14ac:dyDescent="0.2">
      <c r="A21" s="41"/>
      <c r="B21" s="121"/>
      <c r="C21" s="121"/>
      <c r="D21" s="121"/>
      <c r="E21" s="121"/>
      <c r="F21" s="17"/>
      <c r="G21" s="17"/>
      <c r="H21" s="17"/>
    </row>
    <row r="22" spans="1:8" x14ac:dyDescent="0.2">
      <c r="A22" s="41"/>
      <c r="B22" s="121"/>
      <c r="C22" s="121"/>
      <c r="D22" s="121"/>
      <c r="E22" s="121"/>
      <c r="F22" s="17"/>
      <c r="G22" s="17"/>
      <c r="H22" s="17"/>
    </row>
    <row r="23" spans="1:8" x14ac:dyDescent="0.2">
      <c r="A23" s="41"/>
      <c r="B23" s="121"/>
      <c r="C23" s="121"/>
      <c r="D23" s="121"/>
      <c r="E23" s="121"/>
      <c r="F23" s="17"/>
      <c r="G23" s="17"/>
      <c r="H23" s="17"/>
    </row>
    <row r="24" spans="1:8" x14ac:dyDescent="0.2">
      <c r="A24" s="41"/>
      <c r="B24" s="121"/>
      <c r="C24" s="121"/>
      <c r="D24" s="121"/>
      <c r="E24" s="121"/>
      <c r="F24" s="17"/>
      <c r="G24" s="17"/>
      <c r="H24" s="17"/>
    </row>
    <row r="25" spans="1:8" x14ac:dyDescent="0.2">
      <c r="A25" s="41"/>
      <c r="B25" s="121"/>
      <c r="C25" s="121"/>
      <c r="D25" s="121"/>
      <c r="E25" s="121"/>
      <c r="F25" s="17"/>
      <c r="G25" s="17"/>
      <c r="H25" s="17"/>
    </row>
    <row r="26" spans="1:8" x14ac:dyDescent="0.2">
      <c r="A26" s="41"/>
      <c r="B26" s="121"/>
      <c r="C26" s="121"/>
      <c r="D26" s="121"/>
      <c r="E26" s="121"/>
      <c r="F26" s="17"/>
      <c r="G26" s="17"/>
      <c r="H26" s="17"/>
    </row>
    <row r="27" spans="1:8" x14ac:dyDescent="0.2">
      <c r="A27" s="41"/>
      <c r="B27" s="121"/>
      <c r="C27" s="121"/>
      <c r="D27" s="121"/>
      <c r="E27" s="121"/>
      <c r="F27" s="17"/>
      <c r="G27" s="17"/>
      <c r="H27" s="17"/>
    </row>
    <row r="28" spans="1:8" x14ac:dyDescent="0.2">
      <c r="A28" s="41"/>
      <c r="B28" s="121"/>
      <c r="C28" s="121"/>
      <c r="D28" s="121"/>
      <c r="E28" s="121"/>
      <c r="F28" s="17"/>
      <c r="G28" s="17"/>
      <c r="H28" s="17"/>
    </row>
    <row r="29" spans="1:8" x14ac:dyDescent="0.2">
      <c r="A29" s="41"/>
      <c r="B29" s="121"/>
      <c r="C29" s="121"/>
      <c r="D29" s="121"/>
      <c r="E29" s="121"/>
      <c r="F29" s="17"/>
      <c r="G29" s="17"/>
      <c r="H29" s="17"/>
    </row>
    <row r="30" spans="1:8" x14ac:dyDescent="0.2">
      <c r="A30" s="41"/>
      <c r="B30" s="121"/>
      <c r="C30" s="121"/>
      <c r="D30" s="121"/>
      <c r="E30" s="121"/>
      <c r="F30" s="17"/>
      <c r="G30" s="17"/>
      <c r="H30" s="17"/>
    </row>
    <row r="31" spans="1:8" x14ac:dyDescent="0.2">
      <c r="A31" s="41"/>
      <c r="B31" s="121"/>
      <c r="C31" s="121"/>
      <c r="D31" s="121"/>
      <c r="E31" s="121"/>
      <c r="F31" s="17"/>
      <c r="G31" s="17"/>
      <c r="H31" s="17"/>
    </row>
    <row r="32" spans="1:8" x14ac:dyDescent="0.2">
      <c r="A32" s="39"/>
      <c r="B32" s="123"/>
      <c r="C32" s="123"/>
      <c r="D32" s="123"/>
      <c r="E32" s="123"/>
      <c r="F32" s="17"/>
      <c r="G32" s="17"/>
      <c r="H32" s="17"/>
    </row>
    <row r="33" spans="2:8" x14ac:dyDescent="0.2">
      <c r="B33" s="1"/>
      <c r="C33" s="1"/>
      <c r="D33" s="1"/>
      <c r="E33" s="1"/>
      <c r="F33" s="1"/>
      <c r="G33" s="1"/>
      <c r="H33" s="1"/>
    </row>
    <row r="34" spans="2:8" x14ac:dyDescent="0.2">
      <c r="B34" s="1"/>
      <c r="C34" s="1"/>
      <c r="D34" s="1"/>
      <c r="E34" s="1"/>
      <c r="F34" s="1"/>
      <c r="G34" s="1"/>
      <c r="H34" s="1"/>
    </row>
  </sheetData>
  <mergeCells count="3">
    <mergeCell ref="A3:I3"/>
    <mergeCell ref="A8:A9"/>
    <mergeCell ref="A5:L6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42" orientation="landscape" r:id="rId1"/>
  <headerFooter alignWithMargins="0">
    <oddHeader>&amp;R3.2. sz. melléklet
.../2021.(II.15.) Egyek Önk.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4"/>
  <sheetViews>
    <sheetView topLeftCell="A3" zoomScaleNormal="100" workbookViewId="0">
      <selection activeCell="D22" sqref="D22"/>
    </sheetView>
  </sheetViews>
  <sheetFormatPr defaultRowHeight="12.75" x14ac:dyDescent="0.2"/>
  <cols>
    <col min="1" max="1" width="42.42578125" customWidth="1"/>
    <col min="2" max="2" width="15.7109375" customWidth="1"/>
    <col min="3" max="3" width="17.28515625" customWidth="1"/>
    <col min="4" max="4" width="21" customWidth="1"/>
    <col min="5" max="8" width="18" customWidth="1"/>
    <col min="9" max="9" width="12.5703125" customWidth="1"/>
    <col min="10" max="10" width="15.28515625" customWidth="1"/>
    <col min="11" max="11" width="11.7109375" customWidth="1"/>
    <col min="12" max="12" width="16.5703125" customWidth="1"/>
  </cols>
  <sheetData>
    <row r="3" spans="1:12" ht="15.75" x14ac:dyDescent="0.25">
      <c r="A3" s="917"/>
      <c r="B3" s="918"/>
      <c r="C3" s="918"/>
      <c r="D3" s="918"/>
      <c r="E3" s="918"/>
      <c r="F3" s="918"/>
      <c r="G3" s="918"/>
      <c r="H3" s="918"/>
      <c r="I3" s="919"/>
    </row>
    <row r="5" spans="1:12" ht="12.75" customHeight="1" x14ac:dyDescent="0.2">
      <c r="A5" s="922" t="s">
        <v>502</v>
      </c>
      <c r="B5" s="922"/>
      <c r="C5" s="922"/>
      <c r="D5" s="922"/>
      <c r="E5" s="922"/>
      <c r="F5" s="922"/>
      <c r="G5" s="922"/>
      <c r="H5" s="922"/>
      <c r="I5" s="922"/>
      <c r="J5" s="922"/>
      <c r="K5" s="922"/>
      <c r="L5" s="922"/>
    </row>
    <row r="6" spans="1:12" ht="12.75" customHeight="1" x14ac:dyDescent="0.2">
      <c r="A6" s="922"/>
      <c r="B6" s="922"/>
      <c r="C6" s="922"/>
      <c r="D6" s="922"/>
      <c r="E6" s="922"/>
      <c r="F6" s="922"/>
      <c r="G6" s="922"/>
      <c r="H6" s="922"/>
      <c r="I6" s="922"/>
      <c r="J6" s="922"/>
      <c r="K6" s="922"/>
      <c r="L6" s="922"/>
    </row>
    <row r="7" spans="1:12" ht="13.5" thickBot="1" x14ac:dyDescent="0.25">
      <c r="I7" s="247"/>
    </row>
    <row r="8" spans="1:12" ht="102" customHeight="1" thickBot="1" x14ac:dyDescent="0.25">
      <c r="A8" s="920" t="s">
        <v>169</v>
      </c>
      <c r="B8" s="545" t="s">
        <v>188</v>
      </c>
      <c r="C8" s="245" t="s">
        <v>199</v>
      </c>
      <c r="D8" s="245" t="s">
        <v>190</v>
      </c>
      <c r="E8" s="245" t="s">
        <v>200</v>
      </c>
      <c r="F8" s="245" t="s">
        <v>196</v>
      </c>
      <c r="G8" s="245" t="s">
        <v>201</v>
      </c>
      <c r="H8" s="245" t="s">
        <v>192</v>
      </c>
      <c r="I8" s="245" t="s">
        <v>193</v>
      </c>
      <c r="J8" s="245" t="s">
        <v>194</v>
      </c>
      <c r="K8" s="245" t="s">
        <v>202</v>
      </c>
      <c r="L8" s="246" t="s">
        <v>41</v>
      </c>
    </row>
    <row r="9" spans="1:12" ht="21" customHeight="1" thickBot="1" x14ac:dyDescent="0.25">
      <c r="A9" s="921"/>
      <c r="B9" s="35" t="s">
        <v>482</v>
      </c>
      <c r="C9" s="35" t="s">
        <v>482</v>
      </c>
      <c r="D9" s="35" t="s">
        <v>482</v>
      </c>
      <c r="E9" s="35" t="s">
        <v>482</v>
      </c>
      <c r="F9" s="35" t="s">
        <v>482</v>
      </c>
      <c r="G9" s="35" t="s">
        <v>482</v>
      </c>
      <c r="H9" s="35" t="s">
        <v>482</v>
      </c>
      <c r="I9" s="35" t="s">
        <v>482</v>
      </c>
      <c r="J9" s="35" t="s">
        <v>482</v>
      </c>
      <c r="K9" s="35" t="s">
        <v>482</v>
      </c>
      <c r="L9" s="35" t="s">
        <v>482</v>
      </c>
    </row>
    <row r="10" spans="1:12" ht="40.5" customHeight="1" x14ac:dyDescent="0.2">
      <c r="A10" s="546" t="s">
        <v>179</v>
      </c>
      <c r="B10" s="521">
        <v>96380410</v>
      </c>
      <c r="C10" s="521">
        <v>13825000</v>
      </c>
      <c r="D10" s="539">
        <v>19597000</v>
      </c>
      <c r="E10" s="521"/>
      <c r="F10" s="540"/>
      <c r="G10" s="540"/>
      <c r="H10" s="540">
        <v>13337000</v>
      </c>
      <c r="I10" s="541"/>
      <c r="J10" s="542"/>
      <c r="K10" s="543"/>
      <c r="L10" s="544">
        <f>SUM(B10:K10)</f>
        <v>143139410</v>
      </c>
    </row>
    <row r="11" spans="1:12" ht="21" customHeight="1" thickBot="1" x14ac:dyDescent="0.25">
      <c r="A11" s="547" t="s">
        <v>180</v>
      </c>
      <c r="B11" s="519">
        <v>9782850</v>
      </c>
      <c r="C11" s="519">
        <v>1520000</v>
      </c>
      <c r="D11" s="548"/>
      <c r="E11" s="519"/>
      <c r="F11" s="519"/>
      <c r="G11" s="519"/>
      <c r="H11" s="519"/>
      <c r="I11" s="549"/>
      <c r="J11" s="550"/>
      <c r="K11" s="551"/>
      <c r="L11" s="544">
        <f>SUM(B11:K11)</f>
        <v>11302850</v>
      </c>
    </row>
    <row r="12" spans="1:12" s="97" customFormat="1" ht="21" customHeight="1" thickBot="1" x14ac:dyDescent="0.25">
      <c r="A12" s="552" t="s">
        <v>30</v>
      </c>
      <c r="B12" s="553">
        <f t="shared" ref="B12:K12" si="0">SUM(B10:B11)</f>
        <v>106163260</v>
      </c>
      <c r="C12" s="553">
        <f t="shared" si="0"/>
        <v>15345000</v>
      </c>
      <c r="D12" s="553">
        <f t="shared" si="0"/>
        <v>19597000</v>
      </c>
      <c r="E12" s="554">
        <f t="shared" si="0"/>
        <v>0</v>
      </c>
      <c r="F12" s="554">
        <f t="shared" si="0"/>
        <v>0</v>
      </c>
      <c r="G12" s="554">
        <f t="shared" si="0"/>
        <v>0</v>
      </c>
      <c r="H12" s="554">
        <f t="shared" si="0"/>
        <v>13337000</v>
      </c>
      <c r="I12" s="555">
        <f t="shared" si="0"/>
        <v>0</v>
      </c>
      <c r="J12" s="556">
        <f t="shared" si="0"/>
        <v>0</v>
      </c>
      <c r="K12" s="557">
        <f t="shared" si="0"/>
        <v>0</v>
      </c>
      <c r="L12" s="537">
        <f>SUM(B12:K12)</f>
        <v>154442260</v>
      </c>
    </row>
    <row r="14" spans="1:12" x14ac:dyDescent="0.2">
      <c r="I14" s="2"/>
    </row>
    <row r="15" spans="1:12" x14ac:dyDescent="0.2">
      <c r="B15" s="127"/>
    </row>
    <row r="16" spans="1:12" x14ac:dyDescent="0.2">
      <c r="A16" s="36"/>
      <c r="B16" s="37"/>
      <c r="C16" s="37"/>
      <c r="D16" s="37" t="s">
        <v>139</v>
      </c>
      <c r="E16" s="37"/>
      <c r="F16" s="38"/>
      <c r="G16" s="38"/>
      <c r="H16" s="38"/>
    </row>
    <row r="17" spans="1:8" x14ac:dyDescent="0.2">
      <c r="A17" s="39"/>
      <c r="B17" s="40"/>
      <c r="C17" s="40"/>
      <c r="D17" s="40"/>
      <c r="E17" s="40"/>
      <c r="F17" s="40"/>
      <c r="G17" s="40"/>
      <c r="H17" s="40"/>
    </row>
    <row r="18" spans="1:8" x14ac:dyDescent="0.2">
      <c r="A18" s="41"/>
      <c r="B18" s="121"/>
      <c r="C18" s="121"/>
      <c r="D18" s="121"/>
      <c r="E18" s="121"/>
      <c r="F18" s="17"/>
      <c r="G18" s="17"/>
      <c r="H18" s="17"/>
    </row>
    <row r="19" spans="1:8" x14ac:dyDescent="0.2">
      <c r="A19" s="41"/>
      <c r="B19" s="121"/>
      <c r="C19" s="121"/>
      <c r="D19" s="122"/>
      <c r="E19" s="121"/>
      <c r="F19" s="17"/>
      <c r="G19" s="17"/>
      <c r="H19" s="17"/>
    </row>
    <row r="20" spans="1:8" x14ac:dyDescent="0.2">
      <c r="A20" s="41"/>
      <c r="B20" s="121"/>
      <c r="C20" s="121"/>
      <c r="D20" s="121"/>
      <c r="E20" s="121"/>
      <c r="F20" s="17"/>
      <c r="G20" s="17"/>
      <c r="H20" s="17"/>
    </row>
    <row r="21" spans="1:8" x14ac:dyDescent="0.2">
      <c r="A21" s="41"/>
      <c r="B21" s="121"/>
      <c r="C21" s="121"/>
      <c r="D21" s="121"/>
      <c r="E21" s="121"/>
      <c r="F21" s="17"/>
      <c r="G21" s="17"/>
      <c r="H21" s="17"/>
    </row>
    <row r="22" spans="1:8" x14ac:dyDescent="0.2">
      <c r="A22" s="41"/>
      <c r="B22" s="121"/>
      <c r="C22" s="121"/>
      <c r="D22" s="121"/>
      <c r="E22" s="121"/>
      <c r="F22" s="17"/>
      <c r="G22" s="17"/>
      <c r="H22" s="17"/>
    </row>
    <row r="23" spans="1:8" x14ac:dyDescent="0.2">
      <c r="A23" s="41"/>
      <c r="B23" s="121"/>
      <c r="C23" s="121"/>
      <c r="D23" s="121"/>
      <c r="E23" s="121"/>
      <c r="F23" s="17"/>
      <c r="G23" s="17"/>
      <c r="H23" s="17"/>
    </row>
    <row r="24" spans="1:8" x14ac:dyDescent="0.2">
      <c r="A24" s="41"/>
      <c r="B24" s="121"/>
      <c r="C24" s="121"/>
      <c r="D24" s="121"/>
      <c r="E24" s="121"/>
      <c r="F24" s="17"/>
      <c r="G24" s="17"/>
      <c r="H24" s="17"/>
    </row>
    <row r="25" spans="1:8" x14ac:dyDescent="0.2">
      <c r="A25" s="41"/>
      <c r="B25" s="121"/>
      <c r="C25" s="121"/>
      <c r="D25" s="121"/>
      <c r="E25" s="121"/>
      <c r="F25" s="17"/>
      <c r="G25" s="17"/>
      <c r="H25" s="17"/>
    </row>
    <row r="26" spans="1:8" x14ac:dyDescent="0.2">
      <c r="A26" s="41"/>
      <c r="B26" s="121"/>
      <c r="C26" s="121"/>
      <c r="D26" s="121"/>
      <c r="E26" s="121"/>
      <c r="F26" s="17"/>
      <c r="G26" s="17"/>
      <c r="H26" s="17"/>
    </row>
    <row r="27" spans="1:8" x14ac:dyDescent="0.2">
      <c r="A27" s="41"/>
      <c r="B27" s="121"/>
      <c r="C27" s="121"/>
      <c r="D27" s="121"/>
      <c r="E27" s="121"/>
      <c r="F27" s="17"/>
      <c r="G27" s="17"/>
      <c r="H27" s="17"/>
    </row>
    <row r="28" spans="1:8" x14ac:dyDescent="0.2">
      <c r="A28" s="41"/>
      <c r="B28" s="121"/>
      <c r="C28" s="121"/>
      <c r="D28" s="121"/>
      <c r="E28" s="121"/>
      <c r="F28" s="17"/>
      <c r="G28" s="17"/>
      <c r="H28" s="17"/>
    </row>
    <row r="29" spans="1:8" x14ac:dyDescent="0.2">
      <c r="A29" s="41"/>
      <c r="B29" s="121"/>
      <c r="C29" s="121"/>
      <c r="D29" s="121"/>
      <c r="E29" s="121"/>
      <c r="F29" s="17"/>
      <c r="G29" s="17"/>
      <c r="H29" s="17"/>
    </row>
    <row r="30" spans="1:8" x14ac:dyDescent="0.2">
      <c r="A30" s="41"/>
      <c r="B30" s="121"/>
      <c r="C30" s="121"/>
      <c r="D30" s="121"/>
      <c r="E30" s="121"/>
      <c r="F30" s="17"/>
      <c r="G30" s="17"/>
      <c r="H30" s="17"/>
    </row>
    <row r="31" spans="1:8" x14ac:dyDescent="0.2">
      <c r="A31" s="41"/>
      <c r="B31" s="121"/>
      <c r="C31" s="121"/>
      <c r="D31" s="121"/>
      <c r="E31" s="121"/>
      <c r="F31" s="17"/>
      <c r="G31" s="17"/>
      <c r="H31" s="17"/>
    </row>
    <row r="32" spans="1:8" x14ac:dyDescent="0.2">
      <c r="A32" s="39"/>
      <c r="B32" s="123"/>
      <c r="C32" s="123"/>
      <c r="D32" s="123"/>
      <c r="E32" s="123"/>
      <c r="F32" s="17"/>
      <c r="G32" s="17"/>
      <c r="H32" s="17"/>
    </row>
    <row r="33" spans="2:8" x14ac:dyDescent="0.2">
      <c r="B33" s="1"/>
      <c r="C33" s="1"/>
      <c r="D33" s="1"/>
      <c r="E33" s="1"/>
      <c r="F33" s="1"/>
      <c r="G33" s="1"/>
      <c r="H33" s="1"/>
    </row>
    <row r="34" spans="2:8" x14ac:dyDescent="0.2">
      <c r="B34" s="1"/>
      <c r="C34" s="1"/>
      <c r="D34" s="1"/>
      <c r="E34" s="1"/>
      <c r="F34" s="1"/>
      <c r="G34" s="1"/>
      <c r="H34" s="1"/>
    </row>
  </sheetData>
  <mergeCells count="3">
    <mergeCell ref="A3:I3"/>
    <mergeCell ref="A5:L6"/>
    <mergeCell ref="A8:A9"/>
  </mergeCells>
  <pageMargins left="0.74803149606299213" right="0.74803149606299213" top="0.98425196850393704" bottom="0.98425196850393704" header="0.51181102362204722" footer="0.51181102362204722"/>
  <pageSetup paperSize="9" scale="42" orientation="landscape" r:id="rId1"/>
  <headerFooter alignWithMargins="0">
    <oddHeader>&amp;R3.2)a. sz. melléklet
.../2021.(II.15.) Egyek Önk.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L12"/>
  <sheetViews>
    <sheetView topLeftCell="A4" zoomScaleNormal="100" workbookViewId="0">
      <selection activeCell="E30" sqref="E30"/>
    </sheetView>
  </sheetViews>
  <sheetFormatPr defaultRowHeight="12.75" x14ac:dyDescent="0.2"/>
  <cols>
    <col min="1" max="1" width="56.7109375" customWidth="1"/>
    <col min="2" max="2" width="15.28515625" customWidth="1"/>
    <col min="3" max="3" width="15.140625" customWidth="1"/>
    <col min="4" max="4" width="13.7109375" customWidth="1"/>
    <col min="5" max="5" width="19.7109375" customWidth="1"/>
    <col min="6" max="6" width="14.42578125" customWidth="1"/>
    <col min="7" max="7" width="14.5703125" customWidth="1"/>
    <col min="8" max="8" width="14.28515625" customWidth="1"/>
    <col min="9" max="9" width="15.140625" customWidth="1"/>
    <col min="10" max="10" width="12.5703125" customWidth="1"/>
    <col min="11" max="11" width="14.85546875" customWidth="1"/>
    <col min="12" max="12" width="14.140625" customWidth="1"/>
  </cols>
  <sheetData>
    <row r="1" spans="1:12" ht="15.75" customHeight="1" x14ac:dyDescent="0.2">
      <c r="A1" s="925" t="s">
        <v>503</v>
      </c>
      <c r="B1" s="925"/>
      <c r="C1" s="925"/>
      <c r="D1" s="925"/>
      <c r="E1" s="925"/>
      <c r="F1" s="925"/>
    </row>
    <row r="2" spans="1:12" x14ac:dyDescent="0.2">
      <c r="A2" s="925"/>
      <c r="B2" s="925"/>
      <c r="C2" s="925"/>
      <c r="D2" s="925"/>
      <c r="E2" s="925"/>
      <c r="F2" s="925"/>
    </row>
    <row r="3" spans="1:12" x14ac:dyDescent="0.2">
      <c r="A3" s="4"/>
      <c r="B3" s="4"/>
      <c r="C3" s="4"/>
      <c r="D3" s="4"/>
      <c r="E3" s="4"/>
      <c r="F3" s="4"/>
    </row>
    <row r="4" spans="1:12" x14ac:dyDescent="0.2">
      <c r="A4" s="4"/>
      <c r="B4" s="4"/>
      <c r="C4" s="4"/>
      <c r="D4" s="4"/>
      <c r="E4" s="4"/>
      <c r="F4" s="4"/>
    </row>
    <row r="5" spans="1:12" ht="13.5" thickBot="1" x14ac:dyDescent="0.25">
      <c r="A5" s="4"/>
      <c r="B5" s="4"/>
      <c r="C5" s="4"/>
      <c r="D5" s="4"/>
      <c r="E5" s="4"/>
      <c r="F5" s="4"/>
    </row>
    <row r="6" spans="1:12" s="423" customFormat="1" ht="102" customHeight="1" thickBot="1" x14ac:dyDescent="0.25">
      <c r="A6" s="923" t="s">
        <v>169</v>
      </c>
      <c r="B6" s="444" t="s">
        <v>188</v>
      </c>
      <c r="C6" s="444" t="s">
        <v>199</v>
      </c>
      <c r="D6" s="444" t="s">
        <v>190</v>
      </c>
      <c r="E6" s="444" t="s">
        <v>200</v>
      </c>
      <c r="F6" s="444" t="s">
        <v>196</v>
      </c>
      <c r="G6" s="444" t="s">
        <v>201</v>
      </c>
      <c r="H6" s="444" t="s">
        <v>192</v>
      </c>
      <c r="I6" s="444" t="s">
        <v>193</v>
      </c>
      <c r="J6" s="444" t="s">
        <v>194</v>
      </c>
      <c r="K6" s="444" t="s">
        <v>202</v>
      </c>
      <c r="L6" s="445" t="s">
        <v>41</v>
      </c>
    </row>
    <row r="7" spans="1:12" s="423" customFormat="1" ht="21" customHeight="1" thickBot="1" x14ac:dyDescent="0.25">
      <c r="A7" s="924"/>
      <c r="B7" s="35" t="s">
        <v>482</v>
      </c>
      <c r="C7" s="35" t="s">
        <v>482</v>
      </c>
      <c r="D7" s="35" t="s">
        <v>482</v>
      </c>
      <c r="E7" s="35" t="s">
        <v>482</v>
      </c>
      <c r="F7" s="35" t="s">
        <v>482</v>
      </c>
      <c r="G7" s="35" t="s">
        <v>482</v>
      </c>
      <c r="H7" s="35" t="s">
        <v>482</v>
      </c>
      <c r="I7" s="35" t="s">
        <v>482</v>
      </c>
      <c r="J7" s="35" t="s">
        <v>482</v>
      </c>
      <c r="K7" s="35" t="s">
        <v>482</v>
      </c>
      <c r="L7" s="35" t="s">
        <v>482</v>
      </c>
    </row>
    <row r="8" spans="1:12" s="423" customFormat="1" x14ac:dyDescent="0.2">
      <c r="A8" s="446" t="s">
        <v>181</v>
      </c>
      <c r="B8" s="239"/>
      <c r="C8" s="239"/>
      <c r="D8" s="239">
        <v>100000</v>
      </c>
      <c r="E8" s="452"/>
      <c r="F8" s="453"/>
      <c r="G8" s="454"/>
      <c r="H8" s="302">
        <v>1045326</v>
      </c>
      <c r="I8" s="384"/>
      <c r="J8" s="384"/>
      <c r="K8" s="384"/>
      <c r="L8" s="447">
        <f>SUM(B8:K8)</f>
        <v>1145326</v>
      </c>
    </row>
    <row r="9" spans="1:12" s="423" customFormat="1" x14ac:dyDescent="0.2">
      <c r="A9" s="446" t="s">
        <v>182</v>
      </c>
      <c r="B9" s="239">
        <v>5153100</v>
      </c>
      <c r="C9" s="239">
        <v>680000</v>
      </c>
      <c r="D9" s="239">
        <v>3510000</v>
      </c>
      <c r="E9" s="452"/>
      <c r="F9" s="454"/>
      <c r="G9" s="454"/>
      <c r="H9" s="302">
        <v>38100</v>
      </c>
      <c r="I9" s="384">
        <v>1010000</v>
      </c>
      <c r="J9" s="384"/>
      <c r="K9" s="384"/>
      <c r="L9" s="447">
        <f>SUM(B9:K9)</f>
        <v>10391200</v>
      </c>
    </row>
    <row r="10" spans="1:12" s="423" customFormat="1" x14ac:dyDescent="0.2">
      <c r="A10" s="446" t="s">
        <v>183</v>
      </c>
      <c r="B10" s="239"/>
      <c r="C10" s="239"/>
      <c r="D10" s="239">
        <v>244000</v>
      </c>
      <c r="E10" s="452"/>
      <c r="F10" s="454"/>
      <c r="G10" s="455"/>
      <c r="H10" s="302"/>
      <c r="I10" s="384"/>
      <c r="J10" s="384"/>
      <c r="K10" s="384"/>
      <c r="L10" s="447">
        <f>SUM(B10:K10)</f>
        <v>244000</v>
      </c>
    </row>
    <row r="11" spans="1:12" s="423" customFormat="1" ht="25.5" x14ac:dyDescent="0.2">
      <c r="A11" s="448" t="s">
        <v>184</v>
      </c>
      <c r="B11" s="239">
        <v>411508</v>
      </c>
      <c r="C11" s="239">
        <v>57500</v>
      </c>
      <c r="D11" s="239">
        <v>1673700</v>
      </c>
      <c r="E11" s="239"/>
      <c r="F11" s="239"/>
      <c r="G11" s="239"/>
      <c r="H11" s="302">
        <v>100000</v>
      </c>
      <c r="I11" s="384"/>
      <c r="J11" s="384"/>
      <c r="K11" s="384"/>
      <c r="L11" s="447">
        <f>SUM(B11:K11)</f>
        <v>2242708</v>
      </c>
    </row>
    <row r="12" spans="1:12" s="451" customFormat="1" ht="24" customHeight="1" thickBot="1" x14ac:dyDescent="0.25">
      <c r="A12" s="449" t="s">
        <v>110</v>
      </c>
      <c r="B12" s="450">
        <f>SUM(B8:B11)</f>
        <v>5564608</v>
      </c>
      <c r="C12" s="450">
        <f t="shared" ref="C12:L12" si="0">SUM(C8:C11)</f>
        <v>737500</v>
      </c>
      <c r="D12" s="450">
        <f t="shared" si="0"/>
        <v>5527700</v>
      </c>
      <c r="E12" s="450">
        <f t="shared" si="0"/>
        <v>0</v>
      </c>
      <c r="F12" s="450">
        <f t="shared" si="0"/>
        <v>0</v>
      </c>
      <c r="G12" s="450">
        <f t="shared" si="0"/>
        <v>0</v>
      </c>
      <c r="H12" s="450">
        <f t="shared" si="0"/>
        <v>1183426</v>
      </c>
      <c r="I12" s="450">
        <f t="shared" si="0"/>
        <v>1010000</v>
      </c>
      <c r="J12" s="450">
        <f t="shared" si="0"/>
        <v>0</v>
      </c>
      <c r="K12" s="450">
        <f t="shared" si="0"/>
        <v>0</v>
      </c>
      <c r="L12" s="450">
        <f t="shared" si="0"/>
        <v>14023234</v>
      </c>
    </row>
  </sheetData>
  <mergeCells count="2">
    <mergeCell ref="A6:A7"/>
    <mergeCell ref="A1:F2"/>
  </mergeCells>
  <phoneticPr fontId="39" type="noConversion"/>
  <pageMargins left="0.75" right="0.75" top="1" bottom="1" header="0.5" footer="0.5"/>
  <pageSetup paperSize="9" scale="43" orientation="landscape" r:id="rId1"/>
  <headerFooter alignWithMargins="0">
    <oddHeader>&amp;R3.3. sz. melléklet
...../2021.(II.15.) Egyek Önk.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opLeftCell="A4" zoomScaleNormal="100" workbookViewId="0">
      <selection activeCell="I17" sqref="I17"/>
    </sheetView>
  </sheetViews>
  <sheetFormatPr defaultRowHeight="12.75" x14ac:dyDescent="0.2"/>
  <cols>
    <col min="1" max="1" width="56.7109375" customWidth="1"/>
    <col min="2" max="2" width="15.28515625" customWidth="1"/>
    <col min="3" max="3" width="15.140625" customWidth="1"/>
    <col min="4" max="4" width="13.7109375" customWidth="1"/>
    <col min="5" max="5" width="19.7109375" customWidth="1"/>
    <col min="6" max="6" width="14.42578125" customWidth="1"/>
    <col min="7" max="7" width="14.5703125" customWidth="1"/>
    <col min="8" max="8" width="13.42578125" customWidth="1"/>
    <col min="9" max="9" width="15" customWidth="1"/>
    <col min="11" max="11" width="10.85546875" customWidth="1"/>
    <col min="12" max="12" width="14.140625" customWidth="1"/>
  </cols>
  <sheetData>
    <row r="1" spans="1:12" ht="15.75" customHeight="1" x14ac:dyDescent="0.2">
      <c r="A1" s="925" t="s">
        <v>504</v>
      </c>
      <c r="B1" s="925"/>
      <c r="C1" s="925"/>
      <c r="D1" s="925"/>
      <c r="E1" s="925"/>
      <c r="F1" s="925"/>
    </row>
    <row r="2" spans="1:12" x14ac:dyDescent="0.2">
      <c r="A2" s="925"/>
      <c r="B2" s="925"/>
      <c r="C2" s="925"/>
      <c r="D2" s="925"/>
      <c r="E2" s="925"/>
      <c r="F2" s="925"/>
    </row>
    <row r="3" spans="1:12" x14ac:dyDescent="0.2">
      <c r="A3" s="4"/>
      <c r="B3" s="4"/>
      <c r="C3" s="4"/>
      <c r="D3" s="4"/>
      <c r="E3" s="4"/>
      <c r="F3" s="4"/>
    </row>
    <row r="4" spans="1:12" x14ac:dyDescent="0.2">
      <c r="A4" s="4"/>
      <c r="B4" s="4"/>
      <c r="C4" s="4"/>
      <c r="D4" s="4"/>
      <c r="E4" s="4"/>
      <c r="F4" s="4"/>
    </row>
    <row r="5" spans="1:12" ht="13.5" thickBot="1" x14ac:dyDescent="0.25">
      <c r="A5" s="4"/>
      <c r="B5" s="4"/>
      <c r="C5" s="4"/>
      <c r="D5" s="4"/>
      <c r="E5" s="4"/>
      <c r="F5" s="4"/>
    </row>
    <row r="6" spans="1:12" s="423" customFormat="1" ht="102" customHeight="1" thickBot="1" x14ac:dyDescent="0.25">
      <c r="A6" s="923" t="s">
        <v>169</v>
      </c>
      <c r="B6" s="444" t="s">
        <v>188</v>
      </c>
      <c r="C6" s="444" t="s">
        <v>199</v>
      </c>
      <c r="D6" s="444" t="s">
        <v>190</v>
      </c>
      <c r="E6" s="444" t="s">
        <v>200</v>
      </c>
      <c r="F6" s="444" t="s">
        <v>196</v>
      </c>
      <c r="G6" s="444" t="s">
        <v>201</v>
      </c>
      <c r="H6" s="444" t="s">
        <v>192</v>
      </c>
      <c r="I6" s="444" t="s">
        <v>193</v>
      </c>
      <c r="J6" s="444" t="s">
        <v>194</v>
      </c>
      <c r="K6" s="444" t="s">
        <v>202</v>
      </c>
      <c r="L6" s="445" t="s">
        <v>41</v>
      </c>
    </row>
    <row r="7" spans="1:12" s="423" customFormat="1" ht="21" customHeight="1" thickBot="1" x14ac:dyDescent="0.25">
      <c r="A7" s="924"/>
      <c r="B7" s="35" t="s">
        <v>482</v>
      </c>
      <c r="C7" s="35" t="s">
        <v>482</v>
      </c>
      <c r="D7" s="35" t="s">
        <v>482</v>
      </c>
      <c r="E7" s="35" t="s">
        <v>482</v>
      </c>
      <c r="F7" s="35" t="s">
        <v>482</v>
      </c>
      <c r="G7" s="35" t="s">
        <v>482</v>
      </c>
      <c r="H7" s="35" t="s">
        <v>482</v>
      </c>
      <c r="I7" s="35" t="s">
        <v>482</v>
      </c>
      <c r="J7" s="35" t="s">
        <v>482</v>
      </c>
      <c r="K7" s="35" t="s">
        <v>482</v>
      </c>
      <c r="L7" s="35" t="s">
        <v>482</v>
      </c>
    </row>
    <row r="8" spans="1:12" s="423" customFormat="1" x14ac:dyDescent="0.2">
      <c r="A8" s="446" t="s">
        <v>181</v>
      </c>
      <c r="B8" s="239"/>
      <c r="C8" s="239"/>
      <c r="D8" s="239">
        <v>100000</v>
      </c>
      <c r="E8" s="452"/>
      <c r="F8" s="453"/>
      <c r="G8" s="454"/>
      <c r="H8" s="302">
        <v>1045326</v>
      </c>
      <c r="I8" s="384"/>
      <c r="J8" s="384"/>
      <c r="K8" s="384"/>
      <c r="L8" s="447">
        <f>SUM(B8:K8)</f>
        <v>1145326</v>
      </c>
    </row>
    <row r="9" spans="1:12" s="423" customFormat="1" x14ac:dyDescent="0.2">
      <c r="A9" s="446" t="s">
        <v>182</v>
      </c>
      <c r="B9" s="239">
        <v>5153100</v>
      </c>
      <c r="C9" s="239">
        <v>680000</v>
      </c>
      <c r="D9" s="239">
        <v>3510000</v>
      </c>
      <c r="E9" s="452"/>
      <c r="F9" s="454"/>
      <c r="G9" s="454"/>
      <c r="H9" s="302">
        <v>38100</v>
      </c>
      <c r="I9" s="384">
        <v>1010000</v>
      </c>
      <c r="J9" s="384"/>
      <c r="K9" s="384"/>
      <c r="L9" s="447">
        <f>SUM(B9:K9)</f>
        <v>10391200</v>
      </c>
    </row>
    <row r="10" spans="1:12" s="423" customFormat="1" x14ac:dyDescent="0.2">
      <c r="A10" s="446" t="s">
        <v>183</v>
      </c>
      <c r="B10" s="239"/>
      <c r="C10" s="239"/>
      <c r="D10" s="239">
        <v>244000</v>
      </c>
      <c r="E10" s="452"/>
      <c r="F10" s="454"/>
      <c r="G10" s="455"/>
      <c r="H10" s="302"/>
      <c r="I10" s="384"/>
      <c r="J10" s="384"/>
      <c r="K10" s="384"/>
      <c r="L10" s="447">
        <f>SUM(B10:K10)</f>
        <v>244000</v>
      </c>
    </row>
    <row r="11" spans="1:12" s="423" customFormat="1" ht="25.5" x14ac:dyDescent="0.2">
      <c r="A11" s="448" t="s">
        <v>184</v>
      </c>
      <c r="B11" s="239">
        <v>411508</v>
      </c>
      <c r="C11" s="239">
        <v>57500</v>
      </c>
      <c r="D11" s="239">
        <v>1673700</v>
      </c>
      <c r="E11" s="239"/>
      <c r="F11" s="239"/>
      <c r="G11" s="239"/>
      <c r="H11" s="302">
        <v>100000</v>
      </c>
      <c r="I11" s="384"/>
      <c r="J11" s="384"/>
      <c r="K11" s="384"/>
      <c r="L11" s="447">
        <f>SUM(B11:K11)</f>
        <v>2242708</v>
      </c>
    </row>
    <row r="12" spans="1:12" s="451" customFormat="1" ht="24" customHeight="1" thickBot="1" x14ac:dyDescent="0.25">
      <c r="A12" s="449" t="s">
        <v>110</v>
      </c>
      <c r="B12" s="450">
        <f>SUM(B8:B11)</f>
        <v>5564608</v>
      </c>
      <c r="C12" s="450">
        <f t="shared" ref="C12:L12" si="0">SUM(C8:C11)</f>
        <v>737500</v>
      </c>
      <c r="D12" s="450">
        <f t="shared" si="0"/>
        <v>5527700</v>
      </c>
      <c r="E12" s="450">
        <f t="shared" si="0"/>
        <v>0</v>
      </c>
      <c r="F12" s="450">
        <f t="shared" si="0"/>
        <v>0</v>
      </c>
      <c r="G12" s="450">
        <f t="shared" si="0"/>
        <v>0</v>
      </c>
      <c r="H12" s="450">
        <f t="shared" si="0"/>
        <v>1183426</v>
      </c>
      <c r="I12" s="450">
        <f t="shared" si="0"/>
        <v>1010000</v>
      </c>
      <c r="J12" s="450">
        <f t="shared" si="0"/>
        <v>0</v>
      </c>
      <c r="K12" s="450">
        <f t="shared" si="0"/>
        <v>0</v>
      </c>
      <c r="L12" s="450">
        <f t="shared" si="0"/>
        <v>14023234</v>
      </c>
    </row>
  </sheetData>
  <mergeCells count="2">
    <mergeCell ref="A1:F2"/>
    <mergeCell ref="A6:A7"/>
  </mergeCells>
  <pageMargins left="0.75" right="0.75" top="1" bottom="1" header="0.5" footer="0.5"/>
  <pageSetup paperSize="9" scale="43" orientation="landscape" r:id="rId1"/>
  <headerFooter alignWithMargins="0">
    <oddHeader>&amp;R3.3. sz. melléklet
...../2021.(II.15.) Egyek Önk.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K39"/>
  <sheetViews>
    <sheetView topLeftCell="A19" zoomScale="120" zoomScaleNormal="120" workbookViewId="0">
      <selection activeCell="H28" sqref="H28:H36"/>
    </sheetView>
  </sheetViews>
  <sheetFormatPr defaultRowHeight="12.75" x14ac:dyDescent="0.2"/>
  <cols>
    <col min="1" max="1" width="5.28515625" customWidth="1"/>
    <col min="2" max="2" width="52" customWidth="1"/>
    <col min="3" max="3" width="22.5703125" customWidth="1"/>
    <col min="4" max="6" width="17.7109375" customWidth="1"/>
    <col min="8" max="8" width="19.140625" style="564" bestFit="1" customWidth="1"/>
    <col min="10" max="10" width="19" style="564" bestFit="1" customWidth="1"/>
    <col min="11" max="11" width="10" bestFit="1" customWidth="1"/>
  </cols>
  <sheetData>
    <row r="1" spans="2:10" ht="7.5" customHeight="1" x14ac:dyDescent="0.2"/>
    <row r="2" spans="2:10" ht="30" customHeight="1" x14ac:dyDescent="0.2">
      <c r="B2" s="911" t="s">
        <v>505</v>
      </c>
      <c r="C2" s="911"/>
      <c r="D2" s="911"/>
      <c r="E2" s="911"/>
      <c r="F2" s="911"/>
    </row>
    <row r="3" spans="2:10" ht="4.5" customHeight="1" thickBot="1" x14ac:dyDescent="0.25">
      <c r="B3" s="911"/>
      <c r="C3" s="911"/>
      <c r="D3" s="911"/>
      <c r="E3" s="911"/>
      <c r="F3" s="911"/>
    </row>
    <row r="4" spans="2:10" ht="3.75" hidden="1" customHeight="1" thickBot="1" x14ac:dyDescent="0.3">
      <c r="B4" s="25"/>
      <c r="C4" s="25"/>
      <c r="D4" s="25"/>
      <c r="E4" s="25"/>
      <c r="F4" s="30" t="s">
        <v>46</v>
      </c>
    </row>
    <row r="5" spans="2:10" ht="15.75" customHeight="1" x14ac:dyDescent="0.2">
      <c r="B5" s="926" t="s">
        <v>47</v>
      </c>
      <c r="C5" s="926" t="s">
        <v>414</v>
      </c>
      <c r="D5" s="928" t="s">
        <v>412</v>
      </c>
      <c r="E5" s="928" t="s">
        <v>413</v>
      </c>
      <c r="F5" s="931" t="s">
        <v>48</v>
      </c>
    </row>
    <row r="6" spans="2:10" ht="35.25" customHeight="1" thickBot="1" x14ac:dyDescent="0.25">
      <c r="B6" s="927"/>
      <c r="C6" s="927"/>
      <c r="D6" s="929"/>
      <c r="E6" s="930"/>
      <c r="F6" s="932"/>
    </row>
    <row r="7" spans="2:10" ht="15" customHeight="1" thickBot="1" x14ac:dyDescent="0.25">
      <c r="B7" s="31" t="s">
        <v>240</v>
      </c>
      <c r="C7" s="212">
        <f>C8+C10</f>
        <v>324246987</v>
      </c>
      <c r="D7" s="212">
        <f>D8+D10</f>
        <v>106163260</v>
      </c>
      <c r="E7" s="212">
        <f>E8+E10</f>
        <v>5564608</v>
      </c>
      <c r="F7" s="214">
        <f t="shared" ref="F7:F35" si="0">SUM(C7:E7)</f>
        <v>435974855</v>
      </c>
    </row>
    <row r="8" spans="2:10" ht="15" customHeight="1" thickBot="1" x14ac:dyDescent="0.25">
      <c r="B8" s="32" t="s">
        <v>241</v>
      </c>
      <c r="C8" s="175">
        <v>303370637</v>
      </c>
      <c r="D8" s="189">
        <v>100033450</v>
      </c>
      <c r="E8" s="189">
        <v>4388100</v>
      </c>
      <c r="F8" s="214">
        <f t="shared" si="0"/>
        <v>407792187</v>
      </c>
    </row>
    <row r="9" spans="2:10" ht="15" customHeight="1" thickBot="1" x14ac:dyDescent="0.25">
      <c r="B9" s="32" t="s">
        <v>244</v>
      </c>
      <c r="C9" s="175">
        <f>287060251</f>
        <v>287060251</v>
      </c>
      <c r="D9" s="189"/>
      <c r="E9" s="189"/>
      <c r="F9" s="214">
        <f t="shared" si="0"/>
        <v>287060251</v>
      </c>
    </row>
    <row r="10" spans="2:10" ht="15" customHeight="1" thickBot="1" x14ac:dyDescent="0.25">
      <c r="B10" s="33" t="s">
        <v>242</v>
      </c>
      <c r="C10" s="176">
        <v>20876350</v>
      </c>
      <c r="D10" s="120">
        <v>6129810</v>
      </c>
      <c r="E10" s="120">
        <v>1176508</v>
      </c>
      <c r="F10" s="214">
        <f t="shared" si="0"/>
        <v>28182668</v>
      </c>
    </row>
    <row r="11" spans="2:10" ht="15" customHeight="1" thickBot="1" x14ac:dyDescent="0.25">
      <c r="B11" s="34" t="s">
        <v>295</v>
      </c>
      <c r="C11" s="177">
        <f>16663350</f>
        <v>16663350</v>
      </c>
      <c r="D11" s="213"/>
      <c r="E11" s="213"/>
      <c r="F11" s="214">
        <f>SUM(C11:E11)</f>
        <v>16663350</v>
      </c>
    </row>
    <row r="12" spans="2:10" ht="29.25" customHeight="1" thickBot="1" x14ac:dyDescent="0.25">
      <c r="B12" s="173" t="s">
        <v>211</v>
      </c>
      <c r="C12" s="214">
        <v>28101410</v>
      </c>
      <c r="D12" s="214">
        <v>15345000</v>
      </c>
      <c r="E12" s="212">
        <v>737500</v>
      </c>
      <c r="F12" s="214">
        <f t="shared" si="0"/>
        <v>44183910</v>
      </c>
      <c r="H12" s="856"/>
    </row>
    <row r="13" spans="2:10" ht="15" customHeight="1" thickBot="1" x14ac:dyDescent="0.25">
      <c r="B13" s="119" t="s">
        <v>190</v>
      </c>
      <c r="C13" s="212">
        <v>395374713</v>
      </c>
      <c r="D13" s="212">
        <v>19597000</v>
      </c>
      <c r="E13" s="212">
        <v>5527700</v>
      </c>
      <c r="F13" s="214">
        <f t="shared" si="0"/>
        <v>420499413</v>
      </c>
    </row>
    <row r="14" spans="2:10" ht="15" customHeight="1" thickBot="1" x14ac:dyDescent="0.25">
      <c r="B14" s="90" t="s">
        <v>191</v>
      </c>
      <c r="C14" s="300">
        <v>14425000</v>
      </c>
      <c r="D14" s="215"/>
      <c r="E14" s="215"/>
      <c r="F14" s="214">
        <f>SUM(C14:E14)</f>
        <v>14425000</v>
      </c>
    </row>
    <row r="15" spans="2:10" s="97" customFormat="1" ht="29.25" customHeight="1" thickBot="1" x14ac:dyDescent="0.25">
      <c r="B15" s="173" t="s">
        <v>217</v>
      </c>
      <c r="C15" s="594">
        <f>SUM(C16:C33)</f>
        <v>129588160</v>
      </c>
      <c r="D15" s="595">
        <f>SUM(D16:D33)</f>
        <v>0</v>
      </c>
      <c r="E15" s="594">
        <f>SUM(E16:E33)</f>
        <v>0</v>
      </c>
      <c r="F15" s="595">
        <f>SUM(F16:F33)</f>
        <v>119758736</v>
      </c>
      <c r="H15" s="687">
        <f>F15-15000000</f>
        <v>104758736</v>
      </c>
      <c r="J15" s="687"/>
    </row>
    <row r="16" spans="2:10" ht="15" customHeight="1" thickBot="1" x14ac:dyDescent="0.25">
      <c r="B16" s="85" t="s">
        <v>364</v>
      </c>
      <c r="C16" s="441">
        <v>9000</v>
      </c>
      <c r="D16" s="304"/>
      <c r="E16" s="305"/>
      <c r="F16" s="214">
        <f>SUM(C16:E16)</f>
        <v>9000</v>
      </c>
    </row>
    <row r="17" spans="2:11" ht="15" customHeight="1" thickBot="1" x14ac:dyDescent="0.25">
      <c r="B17" s="85" t="s">
        <v>363</v>
      </c>
      <c r="C17" s="688">
        <v>43592000</v>
      </c>
      <c r="D17" s="302"/>
      <c r="E17" s="303"/>
      <c r="F17" s="214">
        <f t="shared" si="0"/>
        <v>43592000</v>
      </c>
    </row>
    <row r="18" spans="2:11" ht="15" customHeight="1" thickBot="1" x14ac:dyDescent="0.25">
      <c r="B18" s="85" t="s">
        <v>553</v>
      </c>
      <c r="C18" s="688">
        <v>1000000</v>
      </c>
      <c r="D18" s="302"/>
      <c r="E18" s="303"/>
      <c r="F18" s="214"/>
    </row>
    <row r="19" spans="2:11" ht="32.25" customHeight="1" thickBot="1" x14ac:dyDescent="0.25">
      <c r="B19" s="172" t="s">
        <v>554</v>
      </c>
      <c r="C19" s="688">
        <v>60000</v>
      </c>
      <c r="D19" s="302"/>
      <c r="E19" s="303"/>
      <c r="F19" s="214"/>
    </row>
    <row r="20" spans="2:11" ht="21.75" customHeight="1" thickBot="1" x14ac:dyDescent="0.25">
      <c r="B20" s="85" t="s">
        <v>246</v>
      </c>
      <c r="C20" s="688">
        <v>400000</v>
      </c>
      <c r="D20" s="302"/>
      <c r="E20" s="303"/>
      <c r="F20" s="214"/>
    </row>
    <row r="21" spans="2:11" ht="21.75" customHeight="1" thickBot="1" x14ac:dyDescent="0.25">
      <c r="B21" s="172" t="s">
        <v>558</v>
      </c>
      <c r="C21" s="688">
        <v>3000000</v>
      </c>
      <c r="D21" s="302"/>
      <c r="E21" s="303"/>
      <c r="F21" s="214"/>
    </row>
    <row r="22" spans="2:11" ht="17.25" customHeight="1" thickBot="1" x14ac:dyDescent="0.25">
      <c r="B22" s="172" t="s">
        <v>559</v>
      </c>
      <c r="C22" s="688">
        <v>5369424</v>
      </c>
      <c r="D22" s="302"/>
      <c r="E22" s="303"/>
      <c r="F22" s="214"/>
    </row>
    <row r="23" spans="2:11" ht="17.25" customHeight="1" thickBot="1" x14ac:dyDescent="0.25">
      <c r="B23" s="85" t="s">
        <v>114</v>
      </c>
      <c r="C23" s="440">
        <v>30033000</v>
      </c>
      <c r="D23" s="302"/>
      <c r="E23" s="303"/>
      <c r="F23" s="214">
        <f t="shared" si="0"/>
        <v>30033000</v>
      </c>
    </row>
    <row r="24" spans="2:11" ht="15" customHeight="1" thickBot="1" x14ac:dyDescent="0.25">
      <c r="B24" s="85" t="s">
        <v>423</v>
      </c>
      <c r="C24" s="440">
        <v>10000</v>
      </c>
      <c r="D24" s="302"/>
      <c r="E24" s="303"/>
      <c r="F24" s="214">
        <f t="shared" si="0"/>
        <v>10000</v>
      </c>
      <c r="K24" s="127"/>
    </row>
    <row r="25" spans="2:11" ht="15" customHeight="1" thickBot="1" x14ac:dyDescent="0.25">
      <c r="B25" s="85" t="s">
        <v>131</v>
      </c>
      <c r="C25" s="440">
        <v>10309860</v>
      </c>
      <c r="D25" s="302"/>
      <c r="E25" s="303"/>
      <c r="F25" s="214">
        <f t="shared" si="0"/>
        <v>10309860</v>
      </c>
    </row>
    <row r="26" spans="2:11" ht="17.25" customHeight="1" thickBot="1" x14ac:dyDescent="0.25">
      <c r="B26" s="172" t="s">
        <v>560</v>
      </c>
      <c r="C26" s="441">
        <v>1382000</v>
      </c>
      <c r="D26" s="304"/>
      <c r="E26" s="305"/>
      <c r="F26" s="214">
        <f t="shared" si="0"/>
        <v>1382000</v>
      </c>
      <c r="K26" s="127"/>
    </row>
    <row r="27" spans="2:11" ht="16.5" customHeight="1" thickBot="1" x14ac:dyDescent="0.25">
      <c r="B27" s="172" t="s">
        <v>440</v>
      </c>
      <c r="C27" s="441">
        <v>11141476</v>
      </c>
      <c r="D27" s="304"/>
      <c r="E27" s="305"/>
      <c r="F27" s="214">
        <f t="shared" si="0"/>
        <v>11141476</v>
      </c>
      <c r="K27" s="127"/>
    </row>
    <row r="28" spans="2:11" ht="30" customHeight="1" thickBot="1" x14ac:dyDescent="0.25">
      <c r="B28" s="172" t="s">
        <v>561</v>
      </c>
      <c r="C28" s="441">
        <v>1061400</v>
      </c>
      <c r="D28" s="304"/>
      <c r="E28" s="305"/>
      <c r="F28" s="214">
        <f>SUM(C28:E28)</f>
        <v>1061400</v>
      </c>
    </row>
    <row r="29" spans="2:11" ht="15" customHeight="1" thickBot="1" x14ac:dyDescent="0.25">
      <c r="B29" s="86" t="s">
        <v>557</v>
      </c>
      <c r="C29" s="442">
        <v>50000</v>
      </c>
      <c r="D29" s="304"/>
      <c r="E29" s="305"/>
      <c r="F29" s="214">
        <f t="shared" si="0"/>
        <v>50000</v>
      </c>
    </row>
    <row r="30" spans="2:11" ht="15" customHeight="1" thickBot="1" x14ac:dyDescent="0.25">
      <c r="B30" s="86" t="s">
        <v>556</v>
      </c>
      <c r="C30" s="442">
        <v>5950000</v>
      </c>
      <c r="D30" s="304"/>
      <c r="E30" s="305"/>
      <c r="F30" s="214">
        <f t="shared" si="0"/>
        <v>5950000</v>
      </c>
    </row>
    <row r="31" spans="2:11" ht="15" customHeight="1" thickBot="1" x14ac:dyDescent="0.25">
      <c r="B31" s="86" t="s">
        <v>555</v>
      </c>
      <c r="C31" s="442">
        <v>20000</v>
      </c>
      <c r="D31" s="304"/>
      <c r="E31" s="305"/>
      <c r="F31" s="214">
        <f t="shared" si="0"/>
        <v>20000</v>
      </c>
    </row>
    <row r="32" spans="2:11" ht="15" customHeight="1" thickBot="1" x14ac:dyDescent="0.25">
      <c r="B32" s="422" t="s">
        <v>245</v>
      </c>
      <c r="C32" s="443">
        <v>1200000</v>
      </c>
      <c r="D32" s="306"/>
      <c r="E32" s="307"/>
      <c r="F32" s="214">
        <f t="shared" si="0"/>
        <v>1200000</v>
      </c>
    </row>
    <row r="33" spans="1:10" s="97" customFormat="1" ht="15" customHeight="1" thickBot="1" x14ac:dyDescent="0.25">
      <c r="A33" s="248"/>
      <c r="B33" s="460" t="s">
        <v>374</v>
      </c>
      <c r="C33" s="461">
        <v>15000000</v>
      </c>
      <c r="D33" s="459"/>
      <c r="E33" s="461"/>
      <c r="F33" s="580">
        <f t="shared" si="0"/>
        <v>15000000</v>
      </c>
      <c r="H33" s="687"/>
      <c r="J33" s="687"/>
    </row>
    <row r="34" spans="1:10" s="97" customFormat="1" ht="15" customHeight="1" thickBot="1" x14ac:dyDescent="0.25">
      <c r="B34" s="31" t="s">
        <v>243</v>
      </c>
      <c r="C34" s="301">
        <f>SUM(C35:C36)</f>
        <v>51674851</v>
      </c>
      <c r="D34" s="301">
        <f>SUM(D35:D35)</f>
        <v>0</v>
      </c>
      <c r="E34" s="212">
        <f>SUM(E35:E35)</f>
        <v>0</v>
      </c>
      <c r="F34" s="214">
        <f t="shared" si="0"/>
        <v>51674851</v>
      </c>
      <c r="H34" s="687"/>
      <c r="J34" s="687"/>
    </row>
    <row r="35" spans="1:10" ht="27.75" customHeight="1" thickBot="1" x14ac:dyDescent="0.25">
      <c r="B35" s="734" t="s">
        <v>552</v>
      </c>
      <c r="C35" s="735">
        <v>40000000</v>
      </c>
      <c r="D35" s="298">
        <v>0</v>
      </c>
      <c r="E35" s="299"/>
      <c r="F35" s="214">
        <f t="shared" si="0"/>
        <v>40000000</v>
      </c>
    </row>
    <row r="36" spans="1:10" ht="27.75" customHeight="1" thickBot="1" x14ac:dyDescent="0.25">
      <c r="B36" s="734" t="s">
        <v>471</v>
      </c>
      <c r="C36" s="816">
        <v>11674851</v>
      </c>
      <c r="D36" s="817"/>
      <c r="E36" s="818"/>
      <c r="F36" s="214"/>
    </row>
    <row r="37" spans="1:10" ht="13.5" thickBot="1" x14ac:dyDescent="0.25">
      <c r="B37" s="31" t="s">
        <v>49</v>
      </c>
      <c r="C37" s="212">
        <f>C7+C12+C13+C14+C15+C34</f>
        <v>943411121</v>
      </c>
      <c r="D37" s="212">
        <f>D7+D12+D13+D14+D15+D34</f>
        <v>141105260</v>
      </c>
      <c r="E37" s="212">
        <f>E7+E12+E13+E14+E15+E34</f>
        <v>11829808</v>
      </c>
      <c r="F37" s="212">
        <f>F7+F12+F13+F14+F15+F34</f>
        <v>1086516765</v>
      </c>
    </row>
    <row r="38" spans="1:10" x14ac:dyDescent="0.2">
      <c r="C38" s="227"/>
      <c r="D38" s="2"/>
    </row>
    <row r="39" spans="1:10" x14ac:dyDescent="0.2">
      <c r="C39" s="127"/>
      <c r="D39" s="127"/>
    </row>
  </sheetData>
  <mergeCells count="6">
    <mergeCell ref="B2:F3"/>
    <mergeCell ref="B5:B6"/>
    <mergeCell ref="D5:D6"/>
    <mergeCell ref="E5:E6"/>
    <mergeCell ref="F5:F6"/>
    <mergeCell ref="C5:C6"/>
  </mergeCells>
  <phoneticPr fontId="4" type="noConversion"/>
  <pageMargins left="0.78740157480314965" right="0.78740157480314965" top="0.83229166666666665" bottom="0.78740157480314965" header="0.51181102362204722" footer="0.51181102362204722"/>
  <pageSetup paperSize="9" scale="82" orientation="landscape" r:id="rId1"/>
  <headerFooter alignWithMargins="0">
    <oddHeader>&amp;R4.sz melléklet
..../2021.(II.15.) Egyek Önk.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B7" zoomScale="140" zoomScaleNormal="140" workbookViewId="0">
      <selection activeCell="E14" sqref="E14"/>
    </sheetView>
  </sheetViews>
  <sheetFormatPr defaultRowHeight="12.75" x14ac:dyDescent="0.2"/>
  <cols>
    <col min="1" max="1" width="9.140625" customWidth="1"/>
    <col min="2" max="2" width="19.28515625" customWidth="1"/>
    <col min="3" max="3" width="74.7109375" customWidth="1"/>
    <col min="4" max="4" width="20.85546875" customWidth="1"/>
    <col min="5" max="5" width="17.28515625" style="564" bestFit="1" customWidth="1"/>
    <col min="6" max="6" width="20.140625" style="564" bestFit="1" customWidth="1"/>
    <col min="8" max="8" width="12.5703125" bestFit="1" customWidth="1"/>
  </cols>
  <sheetData>
    <row r="1" spans="1:6" x14ac:dyDescent="0.2">
      <c r="D1" s="136"/>
    </row>
    <row r="2" spans="1:6" x14ac:dyDescent="0.2">
      <c r="D2" s="136"/>
    </row>
    <row r="3" spans="1:6" x14ac:dyDescent="0.2">
      <c r="A3" s="423"/>
      <c r="B3" s="423"/>
      <c r="C3" s="423"/>
      <c r="D3" s="424"/>
    </row>
    <row r="4" spans="1:6" ht="15.75" x14ac:dyDescent="0.25">
      <c r="A4" s="933" t="s">
        <v>416</v>
      </c>
      <c r="B4" s="933"/>
      <c r="C4" s="933"/>
      <c r="D4" s="933"/>
    </row>
    <row r="5" spans="1:6" ht="13.5" thickBot="1" x14ac:dyDescent="0.25">
      <c r="A5" s="423"/>
      <c r="B5" s="423"/>
      <c r="C5" s="423"/>
      <c r="D5" s="425" t="s">
        <v>52</v>
      </c>
    </row>
    <row r="6" spans="1:6" ht="26.25" thickBot="1" x14ac:dyDescent="0.25">
      <c r="A6" s="700" t="s">
        <v>448</v>
      </c>
      <c r="B6" s="701" t="s">
        <v>247</v>
      </c>
      <c r="C6" s="592" t="s">
        <v>51</v>
      </c>
      <c r="D6" s="703" t="s">
        <v>405</v>
      </c>
    </row>
    <row r="7" spans="1:6" s="248" customFormat="1" x14ac:dyDescent="0.2">
      <c r="A7" s="691" t="s">
        <v>18</v>
      </c>
      <c r="B7" s="692" t="s">
        <v>299</v>
      </c>
      <c r="C7" s="693" t="s">
        <v>351</v>
      </c>
      <c r="D7" s="694">
        <f>25550+11983446</f>
        <v>12008996</v>
      </c>
      <c r="E7" s="564"/>
      <c r="F7" s="564"/>
    </row>
    <row r="8" spans="1:6" x14ac:dyDescent="0.2">
      <c r="A8" s="689" t="s">
        <v>26</v>
      </c>
      <c r="B8" s="690" t="s">
        <v>299</v>
      </c>
      <c r="C8" s="384" t="s">
        <v>566</v>
      </c>
      <c r="D8" s="615">
        <v>5350257</v>
      </c>
    </row>
    <row r="9" spans="1:6" x14ac:dyDescent="0.2">
      <c r="A9" s="689" t="s">
        <v>20</v>
      </c>
      <c r="B9" s="695" t="s">
        <v>564</v>
      </c>
      <c r="C9" s="696" t="s">
        <v>565</v>
      </c>
      <c r="D9" s="615">
        <v>1010000</v>
      </c>
    </row>
    <row r="10" spans="1:6" ht="26.25" thickBot="1" x14ac:dyDescent="0.25">
      <c r="A10" s="689" t="s">
        <v>23</v>
      </c>
      <c r="B10" s="695" t="s">
        <v>445</v>
      </c>
      <c r="C10" s="823" t="s">
        <v>567</v>
      </c>
      <c r="D10" s="615">
        <v>3590464</v>
      </c>
    </row>
    <row r="11" spans="1:6" ht="13.5" thickBot="1" x14ac:dyDescent="0.25">
      <c r="A11" s="934" t="s">
        <v>30</v>
      </c>
      <c r="B11" s="934"/>
      <c r="C11" s="934"/>
      <c r="D11" s="477">
        <f>SUM(D7:D10)</f>
        <v>21959717</v>
      </c>
    </row>
    <row r="12" spans="1:6" x14ac:dyDescent="0.2">
      <c r="A12" s="423"/>
      <c r="B12" s="423"/>
      <c r="C12" s="423"/>
      <c r="D12" s="697"/>
    </row>
    <row r="13" spans="1:6" x14ac:dyDescent="0.2">
      <c r="A13" s="423"/>
      <c r="B13" s="423"/>
      <c r="C13" s="423"/>
      <c r="D13" s="698"/>
    </row>
    <row r="14" spans="1:6" ht="15.75" x14ac:dyDescent="0.25">
      <c r="A14" s="933" t="s">
        <v>102</v>
      </c>
      <c r="B14" s="935"/>
      <c r="C14" s="935"/>
      <c r="D14" s="935"/>
    </row>
    <row r="15" spans="1:6" ht="13.5" thickBot="1" x14ac:dyDescent="0.25">
      <c r="A15" s="427"/>
      <c r="B15" s="427"/>
      <c r="C15" s="427"/>
      <c r="D15" s="425" t="s">
        <v>52</v>
      </c>
    </row>
    <row r="16" spans="1:6" ht="26.25" thickBot="1" x14ac:dyDescent="0.25">
      <c r="A16" s="700" t="s">
        <v>448</v>
      </c>
      <c r="B16" s="1051" t="s">
        <v>247</v>
      </c>
      <c r="C16" s="685" t="s">
        <v>53</v>
      </c>
      <c r="D16" s="702" t="s">
        <v>405</v>
      </c>
    </row>
    <row r="17" spans="1:6" s="248" customFormat="1" ht="13.5" thickBot="1" x14ac:dyDescent="0.25">
      <c r="A17" s="825"/>
      <c r="B17" s="428" t="s">
        <v>568</v>
      </c>
      <c r="C17" s="1053" t="s">
        <v>569</v>
      </c>
      <c r="D17" s="1057">
        <v>2550000</v>
      </c>
      <c r="E17" s="564"/>
      <c r="F17" s="191"/>
    </row>
    <row r="18" spans="1:6" s="248" customFormat="1" ht="13.5" thickBot="1" x14ac:dyDescent="0.25">
      <c r="A18" s="825"/>
      <c r="B18" s="429" t="s">
        <v>568</v>
      </c>
      <c r="C18" s="1054" t="s">
        <v>570</v>
      </c>
      <c r="D18" s="476">
        <v>6000000</v>
      </c>
      <c r="E18" s="564"/>
      <c r="F18" s="191"/>
    </row>
    <row r="19" spans="1:6" ht="13.5" thickBot="1" x14ac:dyDescent="0.25">
      <c r="A19" s="1050" t="s">
        <v>18</v>
      </c>
      <c r="B19" s="429" t="s">
        <v>248</v>
      </c>
      <c r="C19" s="1054" t="s">
        <v>443</v>
      </c>
      <c r="D19" s="476">
        <v>2765000</v>
      </c>
    </row>
    <row r="20" spans="1:6" ht="13.5" thickBot="1" x14ac:dyDescent="0.25">
      <c r="A20" s="1050"/>
      <c r="B20" s="429" t="s">
        <v>248</v>
      </c>
      <c r="C20" s="1054" t="s">
        <v>442</v>
      </c>
      <c r="D20" s="476">
        <v>2022000</v>
      </c>
    </row>
    <row r="21" spans="1:6" ht="13.5" thickBot="1" x14ac:dyDescent="0.25">
      <c r="A21" s="1050" t="s">
        <v>22</v>
      </c>
      <c r="B21" s="429" t="s">
        <v>248</v>
      </c>
      <c r="C21" s="1054" t="s">
        <v>444</v>
      </c>
      <c r="D21" s="476">
        <v>80000</v>
      </c>
    </row>
    <row r="22" spans="1:6" ht="13.5" thickBot="1" x14ac:dyDescent="0.25">
      <c r="A22" s="1050" t="s">
        <v>26</v>
      </c>
      <c r="B22" s="429" t="s">
        <v>299</v>
      </c>
      <c r="C22" s="1055" t="s">
        <v>419</v>
      </c>
      <c r="D22" s="479">
        <f>24332569+2710000+32226000+4638579</f>
        <v>63907148</v>
      </c>
    </row>
    <row r="23" spans="1:6" ht="13.5" thickBot="1" x14ac:dyDescent="0.25">
      <c r="A23" s="1050" t="s">
        <v>20</v>
      </c>
      <c r="B23" s="429" t="s">
        <v>299</v>
      </c>
      <c r="C23" s="1055" t="s">
        <v>426</v>
      </c>
      <c r="D23" s="479">
        <v>10000000</v>
      </c>
    </row>
    <row r="24" spans="1:6" ht="13.5" thickBot="1" x14ac:dyDescent="0.25">
      <c r="A24" s="1050" t="s">
        <v>21</v>
      </c>
      <c r="B24" s="426" t="s">
        <v>299</v>
      </c>
      <c r="C24" s="1055" t="s">
        <v>576</v>
      </c>
      <c r="D24" s="479">
        <f>14350978+3874764</f>
        <v>18225742</v>
      </c>
      <c r="E24" s="603"/>
    </row>
    <row r="25" spans="1:6" ht="13.5" thickBot="1" x14ac:dyDescent="0.25">
      <c r="A25" s="1050"/>
      <c r="B25" s="426" t="s">
        <v>299</v>
      </c>
      <c r="C25" s="1055" t="s">
        <v>575</v>
      </c>
      <c r="D25" s="479">
        <f>32528023+8782566</f>
        <v>41310589</v>
      </c>
      <c r="E25" s="603"/>
    </row>
    <row r="26" spans="1:6" ht="13.5" thickBot="1" x14ac:dyDescent="0.25">
      <c r="A26" s="1050"/>
      <c r="B26" s="426" t="s">
        <v>299</v>
      </c>
      <c r="C26" s="1054" t="s">
        <v>563</v>
      </c>
      <c r="D26" s="476">
        <v>958900</v>
      </c>
      <c r="E26" s="603"/>
    </row>
    <row r="27" spans="1:6" ht="13.5" thickBot="1" x14ac:dyDescent="0.25">
      <c r="A27" s="1050" t="s">
        <v>19</v>
      </c>
      <c r="B27" s="426" t="s">
        <v>298</v>
      </c>
      <c r="C27" s="1054" t="s">
        <v>425</v>
      </c>
      <c r="D27" s="479">
        <f>57941879+15644307</f>
        <v>73586186</v>
      </c>
      <c r="E27" s="603"/>
    </row>
    <row r="28" spans="1:6" ht="13.5" thickBot="1" x14ac:dyDescent="0.25">
      <c r="A28" s="1050" t="s">
        <v>25</v>
      </c>
      <c r="B28" s="426" t="s">
        <v>352</v>
      </c>
      <c r="C28" s="1054" t="s">
        <v>427</v>
      </c>
      <c r="D28" s="479">
        <v>254000</v>
      </c>
      <c r="E28" s="603"/>
    </row>
    <row r="29" spans="1:6" ht="13.5" thickBot="1" x14ac:dyDescent="0.25">
      <c r="A29" s="1050"/>
      <c r="B29" s="426" t="s">
        <v>577</v>
      </c>
      <c r="C29" s="1054" t="s">
        <v>578</v>
      </c>
      <c r="D29" s="479">
        <f>4666010+1138320</f>
        <v>5804330</v>
      </c>
      <c r="E29" s="603"/>
    </row>
    <row r="30" spans="1:6" ht="13.5" thickBot="1" x14ac:dyDescent="0.25">
      <c r="A30" s="1050"/>
      <c r="B30" s="426" t="s">
        <v>579</v>
      </c>
      <c r="C30" s="1054" t="s">
        <v>428</v>
      </c>
      <c r="D30" s="479">
        <f>2606548</f>
        <v>2606548</v>
      </c>
      <c r="E30" s="603"/>
    </row>
    <row r="31" spans="1:6" ht="13.5" thickBot="1" x14ac:dyDescent="0.25">
      <c r="A31" s="1050"/>
      <c r="B31" s="426" t="s">
        <v>418</v>
      </c>
      <c r="C31" s="1054" t="s">
        <v>417</v>
      </c>
      <c r="D31" s="479">
        <v>94035364</v>
      </c>
      <c r="E31" s="603"/>
    </row>
    <row r="32" spans="1:6" ht="13.5" thickBot="1" x14ac:dyDescent="0.25">
      <c r="A32" s="1050" t="s">
        <v>42</v>
      </c>
      <c r="B32" s="426" t="s">
        <v>580</v>
      </c>
      <c r="C32" s="1054" t="s">
        <v>441</v>
      </c>
      <c r="D32" s="479">
        <f>17789010+94489+693250+4803032+25512+187177</f>
        <v>23592470</v>
      </c>
      <c r="E32" s="603"/>
    </row>
    <row r="33" spans="1:4" ht="13.5" thickBot="1" x14ac:dyDescent="0.25">
      <c r="A33" s="1050"/>
      <c r="B33" s="426" t="s">
        <v>571</v>
      </c>
      <c r="C33" s="1054" t="s">
        <v>572</v>
      </c>
      <c r="D33" s="479">
        <v>1045326</v>
      </c>
    </row>
    <row r="34" spans="1:4" ht="13.5" thickBot="1" x14ac:dyDescent="0.25">
      <c r="A34" s="1050"/>
      <c r="B34" s="426" t="s">
        <v>564</v>
      </c>
      <c r="C34" s="1054" t="s">
        <v>424</v>
      </c>
      <c r="D34" s="479">
        <v>38100</v>
      </c>
    </row>
    <row r="35" spans="1:4" ht="13.5" thickBot="1" x14ac:dyDescent="0.25">
      <c r="A35" s="1050" t="s">
        <v>96</v>
      </c>
      <c r="B35" s="426" t="s">
        <v>573</v>
      </c>
      <c r="C35" s="1054" t="s">
        <v>574</v>
      </c>
      <c r="D35" s="479">
        <v>100000</v>
      </c>
    </row>
    <row r="36" spans="1:4" ht="26.25" thickBot="1" x14ac:dyDescent="0.25">
      <c r="A36" s="1050" t="s">
        <v>97</v>
      </c>
      <c r="B36" s="1052" t="s">
        <v>445</v>
      </c>
      <c r="C36" s="1056" t="s">
        <v>581</v>
      </c>
      <c r="D36" s="1049">
        <f>1473222+397770</f>
        <v>1870992</v>
      </c>
    </row>
    <row r="37" spans="1:4" ht="13.5" thickBot="1" x14ac:dyDescent="0.25">
      <c r="A37" s="936" t="s">
        <v>30</v>
      </c>
      <c r="B37" s="937"/>
      <c r="C37" s="938"/>
      <c r="D37" s="478">
        <f>SUM(D17:D36)</f>
        <v>350752695</v>
      </c>
    </row>
    <row r="38" spans="1:4" x14ac:dyDescent="0.2">
      <c r="D38" s="136"/>
    </row>
    <row r="39" spans="1:4" x14ac:dyDescent="0.2">
      <c r="D39" s="616"/>
    </row>
    <row r="40" spans="1:4" x14ac:dyDescent="0.2">
      <c r="D40" s="127"/>
    </row>
    <row r="41" spans="1:4" x14ac:dyDescent="0.2">
      <c r="D41" s="564"/>
    </row>
    <row r="43" spans="1:4" x14ac:dyDescent="0.2">
      <c r="D43" s="127"/>
    </row>
  </sheetData>
  <mergeCells count="4">
    <mergeCell ref="A4:D4"/>
    <mergeCell ref="A11:C11"/>
    <mergeCell ref="A14:D14"/>
    <mergeCell ref="A37:C37"/>
  </mergeCells>
  <phoneticPr fontId="39" type="noConversion"/>
  <pageMargins left="0.7" right="0.7" top="0.75" bottom="0.75" header="0.3" footer="0.3"/>
  <pageSetup paperSize="9" scale="72" orientation="portrait" r:id="rId1"/>
  <headerFooter>
    <oddHeader xml:space="preserve">&amp;R5. sz. melléklet
.../2021.(II.15.) Egyek Önk.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opLeftCell="A13" zoomScale="120" zoomScaleNormal="120" workbookViewId="0">
      <selection activeCell="J8" sqref="J8"/>
    </sheetView>
  </sheetViews>
  <sheetFormatPr defaultRowHeight="12.75" x14ac:dyDescent="0.2"/>
  <cols>
    <col min="1" max="1" width="62.140625" customWidth="1"/>
    <col min="2" max="2" width="17" customWidth="1"/>
    <col min="3" max="3" width="18.5703125" style="564" customWidth="1"/>
    <col min="4" max="4" width="16.42578125" customWidth="1"/>
    <col min="5" max="6" width="16.140625" customWidth="1"/>
    <col min="7" max="7" width="15.5703125" customWidth="1"/>
    <col min="8" max="9" width="17.42578125" customWidth="1"/>
    <col min="10" max="10" width="17.85546875" customWidth="1"/>
  </cols>
  <sheetData>
    <row r="1" spans="1:10" ht="15.75" customHeight="1" x14ac:dyDescent="0.2">
      <c r="A1" s="869" t="s">
        <v>483</v>
      </c>
      <c r="B1" s="869"/>
      <c r="C1" s="869"/>
      <c r="D1" s="869"/>
      <c r="E1" s="869"/>
      <c r="F1" s="869"/>
      <c r="G1" s="869"/>
      <c r="H1" s="869"/>
      <c r="I1" s="869"/>
      <c r="J1" s="869"/>
    </row>
    <row r="2" spans="1:10" x14ac:dyDescent="0.2">
      <c r="A2" s="869"/>
      <c r="B2" s="869"/>
      <c r="C2" s="869"/>
      <c r="D2" s="869"/>
      <c r="E2" s="869"/>
      <c r="F2" s="869"/>
      <c r="G2" s="869"/>
      <c r="H2" s="869"/>
      <c r="I2" s="869"/>
      <c r="J2" s="869"/>
    </row>
    <row r="5" spans="1:10" ht="13.5" thickBot="1" x14ac:dyDescent="0.25"/>
    <row r="6" spans="1:10" ht="86.25" customHeight="1" thickBot="1" x14ac:dyDescent="0.25">
      <c r="A6" s="870" t="s">
        <v>169</v>
      </c>
      <c r="B6" s="591" t="s">
        <v>148</v>
      </c>
      <c r="C6" s="682" t="s">
        <v>154</v>
      </c>
      <c r="D6" s="591" t="s">
        <v>167</v>
      </c>
      <c r="E6" s="591" t="s">
        <v>146</v>
      </c>
      <c r="F6" s="591" t="s">
        <v>168</v>
      </c>
      <c r="G6" s="591" t="s">
        <v>165</v>
      </c>
      <c r="H6" s="591" t="s">
        <v>156</v>
      </c>
      <c r="I6" s="591" t="s">
        <v>163</v>
      </c>
      <c r="J6" s="592" t="s">
        <v>30</v>
      </c>
    </row>
    <row r="7" spans="1:10" ht="25.5" customHeight="1" thickBot="1" x14ac:dyDescent="0.25">
      <c r="A7" s="871"/>
      <c r="B7" s="665" t="s">
        <v>482</v>
      </c>
      <c r="C7" s="683" t="s">
        <v>482</v>
      </c>
      <c r="D7" s="665" t="s">
        <v>482</v>
      </c>
      <c r="E7" s="665" t="s">
        <v>482</v>
      </c>
      <c r="F7" s="665" t="s">
        <v>482</v>
      </c>
      <c r="G7" s="665" t="s">
        <v>482</v>
      </c>
      <c r="H7" s="665" t="s">
        <v>482</v>
      </c>
      <c r="I7" s="665" t="s">
        <v>482</v>
      </c>
      <c r="J7" s="195" t="s">
        <v>482</v>
      </c>
    </row>
    <row r="8" spans="1:10" s="355" customFormat="1" ht="27.75" customHeight="1" thickBot="1" x14ac:dyDescent="0.25">
      <c r="A8" s="415" t="s">
        <v>348</v>
      </c>
      <c r="B8" s="669">
        <v>11000000</v>
      </c>
      <c r="C8" s="671"/>
      <c r="D8" s="670"/>
      <c r="E8" s="671">
        <v>3981000</v>
      </c>
      <c r="F8" s="670"/>
      <c r="G8" s="670">
        <v>27951155</v>
      </c>
      <c r="H8" s="670"/>
      <c r="I8" s="672">
        <v>2072000</v>
      </c>
      <c r="J8" s="663">
        <f>SUM(B8:I8)</f>
        <v>45004155</v>
      </c>
    </row>
    <row r="9" spans="1:10" ht="13.5" thickBot="1" x14ac:dyDescent="0.25">
      <c r="A9" s="358" t="s">
        <v>178</v>
      </c>
      <c r="B9" s="673"/>
      <c r="C9" s="302"/>
      <c r="D9" s="384"/>
      <c r="E9" s="302">
        <v>1524000</v>
      </c>
      <c r="F9" s="384"/>
      <c r="G9" s="302"/>
      <c r="H9" s="384"/>
      <c r="I9" s="674"/>
      <c r="J9" s="663">
        <f t="shared" ref="J9:J27" si="0">SUM(B9:I9)</f>
        <v>1524000</v>
      </c>
    </row>
    <row r="10" spans="1:10" ht="27.75" customHeight="1" thickBot="1" x14ac:dyDescent="0.25">
      <c r="A10" s="357" t="s">
        <v>171</v>
      </c>
      <c r="B10" s="675"/>
      <c r="C10" s="239">
        <v>18562500</v>
      </c>
      <c r="D10" s="239"/>
      <c r="E10" s="239">
        <v>53807294</v>
      </c>
      <c r="F10" s="239">
        <v>30000000</v>
      </c>
      <c r="G10" s="239"/>
      <c r="H10" s="239"/>
      <c r="I10" s="676">
        <v>82269887</v>
      </c>
      <c r="J10" s="663">
        <f t="shared" si="0"/>
        <v>184639681</v>
      </c>
    </row>
    <row r="11" spans="1:10" s="113" customFormat="1" ht="15.75" customHeight="1" thickBot="1" x14ac:dyDescent="0.25">
      <c r="A11" s="356" t="s">
        <v>173</v>
      </c>
      <c r="B11" s="675">
        <v>291871281</v>
      </c>
      <c r="C11" s="239"/>
      <c r="D11" s="239"/>
      <c r="E11" s="667"/>
      <c r="F11" s="239"/>
      <c r="G11" s="667"/>
      <c r="H11" s="667"/>
      <c r="I11" s="676">
        <v>11674851</v>
      </c>
      <c r="J11" s="663">
        <f t="shared" si="0"/>
        <v>303546132</v>
      </c>
    </row>
    <row r="12" spans="1:10" s="113" customFormat="1" ht="15.75" customHeight="1" thickBot="1" x14ac:dyDescent="0.25">
      <c r="A12" s="358" t="s">
        <v>528</v>
      </c>
      <c r="B12" s="675">
        <v>523875</v>
      </c>
      <c r="C12" s="239"/>
      <c r="D12" s="239"/>
      <c r="E12" s="667"/>
      <c r="F12" s="239"/>
      <c r="G12" s="667"/>
      <c r="H12" s="667"/>
      <c r="I12" s="676"/>
      <c r="J12" s="663">
        <f t="shared" si="0"/>
        <v>523875</v>
      </c>
    </row>
    <row r="13" spans="1:10" ht="13.5" thickBot="1" x14ac:dyDescent="0.25">
      <c r="A13" s="358" t="s">
        <v>177</v>
      </c>
      <c r="B13" s="673">
        <v>275076114</v>
      </c>
      <c r="C13" s="302">
        <v>67002639</v>
      </c>
      <c r="D13" s="384"/>
      <c r="E13" s="302">
        <v>21565000</v>
      </c>
      <c r="F13" s="384"/>
      <c r="G13" s="384"/>
      <c r="H13" s="384"/>
      <c r="I13" s="674">
        <v>60941372</v>
      </c>
      <c r="J13" s="663">
        <f t="shared" si="0"/>
        <v>424585125</v>
      </c>
    </row>
    <row r="14" spans="1:10" ht="15.75" customHeight="1" thickBot="1" x14ac:dyDescent="0.25">
      <c r="A14" s="357" t="s">
        <v>347</v>
      </c>
      <c r="B14" s="675"/>
      <c r="C14" s="239"/>
      <c r="D14" s="239"/>
      <c r="E14" s="239">
        <v>18115000</v>
      </c>
      <c r="F14" s="239"/>
      <c r="G14" s="239"/>
      <c r="H14" s="239"/>
      <c r="I14" s="676"/>
      <c r="J14" s="663">
        <f t="shared" si="0"/>
        <v>18115000</v>
      </c>
    </row>
    <row r="15" spans="1:10" ht="13.5" thickBot="1" x14ac:dyDescent="0.25">
      <c r="A15" s="356" t="s">
        <v>421</v>
      </c>
      <c r="B15" s="675"/>
      <c r="C15" s="239">
        <v>50456924</v>
      </c>
      <c r="D15" s="239"/>
      <c r="E15" s="239"/>
      <c r="F15" s="239"/>
      <c r="G15" s="239"/>
      <c r="H15" s="239"/>
      <c r="I15" s="676"/>
      <c r="J15" s="663">
        <f t="shared" si="0"/>
        <v>50456924</v>
      </c>
    </row>
    <row r="16" spans="1:10" ht="13.5" thickBot="1" x14ac:dyDescent="0.25">
      <c r="A16" s="356" t="s">
        <v>529</v>
      </c>
      <c r="B16" s="675"/>
      <c r="C16" s="239">
        <v>3035882</v>
      </c>
      <c r="D16" s="239"/>
      <c r="E16" s="239"/>
      <c r="F16" s="239"/>
      <c r="G16" s="239"/>
      <c r="H16" s="239"/>
      <c r="I16" s="676">
        <v>2431298</v>
      </c>
      <c r="J16" s="663">
        <f t="shared" si="0"/>
        <v>5467180</v>
      </c>
    </row>
    <row r="17" spans="1:10" ht="13.5" thickBot="1" x14ac:dyDescent="0.25">
      <c r="A17" s="356" t="s">
        <v>530</v>
      </c>
      <c r="B17" s="675">
        <v>994500</v>
      </c>
      <c r="C17" s="239">
        <v>9947909</v>
      </c>
      <c r="D17" s="239"/>
      <c r="E17" s="239">
        <v>352350</v>
      </c>
      <c r="F17" s="239"/>
      <c r="G17" s="239"/>
      <c r="H17" s="239"/>
      <c r="I17" s="676"/>
      <c r="J17" s="663">
        <f t="shared" si="0"/>
        <v>11294759</v>
      </c>
    </row>
    <row r="18" spans="1:10" ht="18" customHeight="1" thickBot="1" x14ac:dyDescent="0.25">
      <c r="A18" s="357" t="s">
        <v>356</v>
      </c>
      <c r="B18" s="675">
        <v>55800042</v>
      </c>
      <c r="C18" s="239">
        <v>94035364</v>
      </c>
      <c r="D18" s="239"/>
      <c r="E18" s="239"/>
      <c r="F18" s="239"/>
      <c r="G18" s="239"/>
      <c r="H18" s="239"/>
      <c r="I18" s="676"/>
      <c r="J18" s="663">
        <f t="shared" si="0"/>
        <v>149835406</v>
      </c>
    </row>
    <row r="19" spans="1:10" ht="18" customHeight="1" thickBot="1" x14ac:dyDescent="0.25">
      <c r="A19" s="357" t="s">
        <v>531</v>
      </c>
      <c r="B19" s="675">
        <v>85000</v>
      </c>
      <c r="C19" s="239">
        <v>25558088</v>
      </c>
      <c r="D19" s="239"/>
      <c r="E19" s="239"/>
      <c r="F19" s="239"/>
      <c r="G19" s="239"/>
      <c r="H19" s="239"/>
      <c r="I19" s="676"/>
      <c r="J19" s="663">
        <f t="shared" si="0"/>
        <v>25643088</v>
      </c>
    </row>
    <row r="20" spans="1:10" ht="13.5" thickBot="1" x14ac:dyDescent="0.25">
      <c r="A20" s="356" t="s">
        <v>172</v>
      </c>
      <c r="B20" s="675">
        <v>1780000</v>
      </c>
      <c r="C20" s="239"/>
      <c r="D20" s="239"/>
      <c r="E20" s="239">
        <v>32000</v>
      </c>
      <c r="F20" s="239"/>
      <c r="G20" s="239"/>
      <c r="H20" s="239"/>
      <c r="I20" s="676"/>
      <c r="J20" s="663">
        <f t="shared" si="0"/>
        <v>1812000</v>
      </c>
    </row>
    <row r="21" spans="1:10" ht="13.5" thickBot="1" x14ac:dyDescent="0.25">
      <c r="A21" s="358" t="s">
        <v>206</v>
      </c>
      <c r="B21" s="675"/>
      <c r="C21" s="239"/>
      <c r="D21" s="239"/>
      <c r="E21" s="239">
        <v>2310000</v>
      </c>
      <c r="F21" s="239"/>
      <c r="G21" s="239"/>
      <c r="H21" s="239"/>
      <c r="I21" s="676"/>
      <c r="J21" s="663">
        <f t="shared" si="0"/>
        <v>2310000</v>
      </c>
    </row>
    <row r="22" spans="1:10" ht="13.5" thickBot="1" x14ac:dyDescent="0.25">
      <c r="A22" s="358" t="s">
        <v>422</v>
      </c>
      <c r="B22" s="675">
        <v>14400000</v>
      </c>
      <c r="C22" s="239"/>
      <c r="D22" s="239"/>
      <c r="E22" s="239">
        <v>924000</v>
      </c>
      <c r="F22" s="239"/>
      <c r="G22" s="239"/>
      <c r="H22" s="239"/>
      <c r="I22" s="676"/>
      <c r="J22" s="663">
        <f t="shared" si="0"/>
        <v>15324000</v>
      </c>
    </row>
    <row r="23" spans="1:10" ht="13.5" thickBot="1" x14ac:dyDescent="0.25">
      <c r="A23" s="358" t="s">
        <v>176</v>
      </c>
      <c r="B23" s="673"/>
      <c r="C23" s="302"/>
      <c r="D23" s="384"/>
      <c r="E23" s="302">
        <v>5500</v>
      </c>
      <c r="F23" s="384"/>
      <c r="G23" s="384"/>
      <c r="H23" s="384"/>
      <c r="I23" s="674"/>
      <c r="J23" s="663">
        <f t="shared" si="0"/>
        <v>5500</v>
      </c>
    </row>
    <row r="24" spans="1:10" ht="13.5" thickBot="1" x14ac:dyDescent="0.25">
      <c r="A24" s="358" t="s">
        <v>532</v>
      </c>
      <c r="B24" s="673"/>
      <c r="C24" s="302"/>
      <c r="D24" s="384"/>
      <c r="E24" s="302"/>
      <c r="F24" s="384"/>
      <c r="G24" s="302">
        <v>3000000</v>
      </c>
      <c r="H24" s="384"/>
      <c r="I24" s="674"/>
      <c r="J24" s="663">
        <f t="shared" si="0"/>
        <v>3000000</v>
      </c>
    </row>
    <row r="25" spans="1:10" ht="26.25" thickBot="1" x14ac:dyDescent="0.25">
      <c r="A25" s="699" t="s">
        <v>446</v>
      </c>
      <c r="B25" s="673">
        <v>8032042</v>
      </c>
      <c r="C25" s="302">
        <v>5461456</v>
      </c>
      <c r="D25" s="384"/>
      <c r="E25" s="302"/>
      <c r="F25" s="384"/>
      <c r="G25" s="302"/>
      <c r="H25" s="384"/>
      <c r="I25" s="674">
        <v>28345615</v>
      </c>
      <c r="J25" s="663">
        <f>SUM(B25:I25)</f>
        <v>41839113</v>
      </c>
    </row>
    <row r="26" spans="1:10" ht="30" customHeight="1" thickBot="1" x14ac:dyDescent="0.25">
      <c r="A26" s="357" t="s">
        <v>174</v>
      </c>
      <c r="B26" s="675"/>
      <c r="C26" s="239"/>
      <c r="D26" s="239">
        <v>75522000</v>
      </c>
      <c r="E26" s="239"/>
      <c r="F26" s="239"/>
      <c r="G26" s="239"/>
      <c r="H26" s="239"/>
      <c r="I26" s="676"/>
      <c r="J26" s="663">
        <f t="shared" si="0"/>
        <v>75522000</v>
      </c>
    </row>
    <row r="27" spans="1:10" ht="13.5" thickBot="1" x14ac:dyDescent="0.25">
      <c r="A27" s="356" t="s">
        <v>175</v>
      </c>
      <c r="B27" s="679"/>
      <c r="C27" s="306"/>
      <c r="D27" s="680"/>
      <c r="E27" s="306"/>
      <c r="F27" s="680"/>
      <c r="G27" s="306"/>
      <c r="H27" s="680"/>
      <c r="I27" s="681">
        <v>50000000</v>
      </c>
      <c r="J27" s="663">
        <f t="shared" si="0"/>
        <v>50000000</v>
      </c>
    </row>
    <row r="28" spans="1:10" s="198" customFormat="1" ht="13.5" thickBot="1" x14ac:dyDescent="0.25">
      <c r="A28" s="359" t="s">
        <v>30</v>
      </c>
      <c r="B28" s="666">
        <f>SUM(B8:B27)</f>
        <v>659562854</v>
      </c>
      <c r="C28" s="666">
        <f t="shared" ref="C28:I28" si="1">SUM(C8:C27)</f>
        <v>274060762</v>
      </c>
      <c r="D28" s="666">
        <f t="shared" si="1"/>
        <v>75522000</v>
      </c>
      <c r="E28" s="666">
        <f t="shared" si="1"/>
        <v>102616144</v>
      </c>
      <c r="F28" s="666">
        <f t="shared" si="1"/>
        <v>30000000</v>
      </c>
      <c r="G28" s="666">
        <f t="shared" si="1"/>
        <v>30951155</v>
      </c>
      <c r="H28" s="666">
        <f t="shared" si="1"/>
        <v>0</v>
      </c>
      <c r="I28" s="666">
        <f t="shared" si="1"/>
        <v>237735023</v>
      </c>
      <c r="J28" s="593">
        <f t="shared" ref="J28" si="2">SUM(J8:J27)</f>
        <v>1410447938</v>
      </c>
    </row>
    <row r="31" spans="1:10" x14ac:dyDescent="0.2">
      <c r="B31" s="564"/>
    </row>
    <row r="33" spans="2:2" x14ac:dyDescent="0.2">
      <c r="B33" s="564"/>
    </row>
  </sheetData>
  <mergeCells count="2">
    <mergeCell ref="A1:J2"/>
    <mergeCell ref="A6:A7"/>
  </mergeCells>
  <phoneticPr fontId="39" type="noConversion"/>
  <pageMargins left="0.75" right="0.75" top="1" bottom="1" header="0.5" footer="0.5"/>
  <pageSetup paperSize="9" scale="61" orientation="landscape" r:id="rId1"/>
  <headerFooter alignWithMargins="0">
    <oddHeader>&amp;R2/1.sz. melléklete
...../2021. (II.15.) Egyek Önk.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opLeftCell="A52" zoomScale="130" zoomScaleNormal="130" zoomScaleSheetLayoutView="110" workbookViewId="0">
      <selection activeCell="K20" sqref="K20"/>
    </sheetView>
  </sheetViews>
  <sheetFormatPr defaultRowHeight="12.75" x14ac:dyDescent="0.2"/>
  <cols>
    <col min="2" max="2" width="20.42578125" bestFit="1" customWidth="1"/>
    <col min="3" max="3" width="8.7109375" bestFit="1" customWidth="1"/>
    <col min="4" max="4" width="18.28515625" bestFit="1" customWidth="1"/>
    <col min="5" max="5" width="14.85546875" customWidth="1"/>
    <col min="6" max="6" width="14.42578125" customWidth="1"/>
    <col min="7" max="7" width="10.140625" bestFit="1" customWidth="1"/>
    <col min="8" max="8" width="12.85546875" customWidth="1"/>
    <col min="9" max="9" width="15" customWidth="1"/>
  </cols>
  <sheetData>
    <row r="1" spans="1:9" s="434" customFormat="1" ht="69" customHeight="1" x14ac:dyDescent="0.25">
      <c r="A1" s="940" t="s">
        <v>353</v>
      </c>
      <c r="B1" s="940"/>
      <c r="C1" s="940"/>
      <c r="D1" s="940"/>
      <c r="E1" s="940"/>
      <c r="F1" s="940"/>
      <c r="G1" s="940"/>
      <c r="H1" s="940"/>
      <c r="I1" s="940"/>
    </row>
    <row r="2" spans="1:9" s="434" customFormat="1" ht="69" customHeight="1" thickBot="1" x14ac:dyDescent="0.25">
      <c r="A2" s="430"/>
      <c r="B2" s="431"/>
      <c r="C2" s="432"/>
      <c r="D2" s="432"/>
      <c r="E2" s="432"/>
      <c r="F2" s="432"/>
      <c r="G2" s="432"/>
      <c r="H2" s="432"/>
      <c r="I2" s="433" t="s">
        <v>392</v>
      </c>
    </row>
    <row r="3" spans="1:9" s="435" customFormat="1" ht="69" customHeight="1" thickBot="1" x14ac:dyDescent="0.25">
      <c r="A3" s="941" t="s">
        <v>72</v>
      </c>
      <c r="B3" s="943" t="s">
        <v>84</v>
      </c>
      <c r="C3" s="945" t="s">
        <v>85</v>
      </c>
      <c r="D3" s="946" t="s">
        <v>582</v>
      </c>
      <c r="E3" s="948" t="s">
        <v>86</v>
      </c>
      <c r="F3" s="948"/>
      <c r="G3" s="948"/>
      <c r="H3" s="948"/>
      <c r="I3" s="949" t="s">
        <v>41</v>
      </c>
    </row>
    <row r="4" spans="1:9" s="435" customFormat="1" ht="24.75" customHeight="1" thickBot="1" x14ac:dyDescent="0.25">
      <c r="A4" s="942"/>
      <c r="B4" s="944"/>
      <c r="C4" s="944"/>
      <c r="D4" s="947"/>
      <c r="E4" s="773" t="s">
        <v>403</v>
      </c>
      <c r="F4" s="773" t="s">
        <v>429</v>
      </c>
      <c r="G4" s="773" t="s">
        <v>458</v>
      </c>
      <c r="H4" s="773" t="s">
        <v>583</v>
      </c>
      <c r="I4" s="950"/>
    </row>
    <row r="5" spans="1:9" s="436" customFormat="1" ht="34.5" thickBot="1" x14ac:dyDescent="0.25">
      <c r="A5" s="826" t="s">
        <v>18</v>
      </c>
      <c r="B5" s="827" t="s">
        <v>87</v>
      </c>
      <c r="C5" s="828" t="s">
        <v>309</v>
      </c>
      <c r="D5" s="829">
        <f>SUM(D6)</f>
        <v>0</v>
      </c>
      <c r="E5" s="828">
        <f>SUM(E6)</f>
        <v>42000000</v>
      </c>
      <c r="F5" s="828">
        <f t="shared" ref="F5:H5" si="0">SUM(F6)</f>
        <v>0</v>
      </c>
      <c r="G5" s="828">
        <f t="shared" si="0"/>
        <v>0</v>
      </c>
      <c r="H5" s="828">
        <f t="shared" si="0"/>
        <v>0</v>
      </c>
      <c r="I5" s="830">
        <f>SUM(D5:H5)</f>
        <v>42000000</v>
      </c>
    </row>
    <row r="6" spans="1:9" s="436" customFormat="1" ht="37.5" customHeight="1" thickBot="1" x14ac:dyDescent="0.25">
      <c r="A6" s="623" t="s">
        <v>79</v>
      </c>
      <c r="B6" s="831" t="s">
        <v>137</v>
      </c>
      <c r="C6" s="832" t="s">
        <v>309</v>
      </c>
      <c r="D6" s="833" t="s">
        <v>309</v>
      </c>
      <c r="E6" s="834">
        <v>42000000</v>
      </c>
      <c r="F6" s="834" t="s">
        <v>309</v>
      </c>
      <c r="G6" s="834" t="s">
        <v>309</v>
      </c>
      <c r="H6" s="834" t="s">
        <v>309</v>
      </c>
      <c r="I6" s="835">
        <f>SUM(D6:H6)</f>
        <v>42000000</v>
      </c>
    </row>
    <row r="7" spans="1:9" s="436" customFormat="1" ht="43.5" customHeight="1" thickBot="1" x14ac:dyDescent="0.25">
      <c r="A7" s="623" t="s">
        <v>22</v>
      </c>
      <c r="B7" s="625" t="s">
        <v>88</v>
      </c>
      <c r="C7" s="624"/>
      <c r="D7" s="624">
        <f>SUM(D8:D20)</f>
        <v>72041946</v>
      </c>
      <c r="E7" s="624">
        <f>SUM(E8:E20)</f>
        <v>23632972</v>
      </c>
      <c r="F7" s="624">
        <f>SUM(F8:F20)</f>
        <v>22823485</v>
      </c>
      <c r="G7" s="624">
        <f t="shared" ref="G7:I7" si="1">SUM(G8:G20)</f>
        <v>22003246</v>
      </c>
      <c r="H7" s="624">
        <f t="shared" si="1"/>
        <v>20490818</v>
      </c>
      <c r="I7" s="719">
        <f t="shared" si="1"/>
        <v>160992467</v>
      </c>
    </row>
    <row r="8" spans="1:9" s="841" customFormat="1" ht="75.75" customHeight="1" x14ac:dyDescent="0.2">
      <c r="A8" s="836" t="s">
        <v>80</v>
      </c>
      <c r="B8" s="837" t="s">
        <v>330</v>
      </c>
      <c r="C8" s="838" t="s">
        <v>112</v>
      </c>
      <c r="D8" s="839">
        <f>8457956+2457068+E8+E8</f>
        <v>15530274</v>
      </c>
      <c r="E8" s="839">
        <f>1984630+322995</f>
        <v>2307625</v>
      </c>
      <c r="F8" s="839">
        <f>1984630+228365</f>
        <v>2212995</v>
      </c>
      <c r="G8" s="839">
        <f>1984630+133307</f>
        <v>2117937</v>
      </c>
      <c r="H8" s="839">
        <f>1231154+46510</f>
        <v>1277664</v>
      </c>
      <c r="I8" s="840">
        <f t="shared" ref="I8:I17" si="2">SUM(D8:H8)</f>
        <v>23446495</v>
      </c>
    </row>
    <row r="9" spans="1:9" s="841" customFormat="1" ht="40.5" customHeight="1" x14ac:dyDescent="0.2">
      <c r="A9" s="842" t="s">
        <v>81</v>
      </c>
      <c r="B9" s="843" t="s">
        <v>393</v>
      </c>
      <c r="C9" s="844" t="s">
        <v>394</v>
      </c>
      <c r="D9" s="839">
        <v>6651590</v>
      </c>
      <c r="E9" s="845">
        <f>980000+260059</f>
        <v>1240059</v>
      </c>
      <c r="F9" s="845">
        <f>980000+203612</f>
        <v>1183612</v>
      </c>
      <c r="G9" s="845">
        <f>980000+156349</f>
        <v>1136349</v>
      </c>
      <c r="H9" s="845">
        <f>980000+164910</f>
        <v>1144910</v>
      </c>
      <c r="I9" s="840">
        <f t="shared" si="2"/>
        <v>11356520</v>
      </c>
    </row>
    <row r="10" spans="1:9" s="841" customFormat="1" ht="52.5" customHeight="1" x14ac:dyDescent="0.2">
      <c r="A10" s="842" t="s">
        <v>82</v>
      </c>
      <c r="B10" s="843" t="s">
        <v>310</v>
      </c>
      <c r="C10" s="844" t="s">
        <v>112</v>
      </c>
      <c r="D10" s="839">
        <v>7753130</v>
      </c>
      <c r="E10" s="845">
        <f>980000+154589</f>
        <v>1134589</v>
      </c>
      <c r="F10" s="845">
        <f>980000+107901</f>
        <v>1087901</v>
      </c>
      <c r="G10" s="845">
        <f>980000+60710</f>
        <v>1040710</v>
      </c>
      <c r="H10" s="845">
        <f>980000+14026</f>
        <v>994026</v>
      </c>
      <c r="I10" s="840">
        <f t="shared" si="2"/>
        <v>12010356</v>
      </c>
    </row>
    <row r="11" spans="1:9" s="841" customFormat="1" ht="56.25" x14ac:dyDescent="0.2">
      <c r="A11" s="842" t="s">
        <v>83</v>
      </c>
      <c r="B11" s="843" t="s">
        <v>311</v>
      </c>
      <c r="C11" s="844" t="s">
        <v>112</v>
      </c>
      <c r="D11" s="839">
        <v>269015</v>
      </c>
      <c r="E11" s="845">
        <f>30480+6840</f>
        <v>37320</v>
      </c>
      <c r="F11" s="845">
        <f>30480+5549</f>
        <v>36029</v>
      </c>
      <c r="G11" s="845">
        <f>30480+4260</f>
        <v>34740</v>
      </c>
      <c r="H11" s="845">
        <f>30480+2973</f>
        <v>33453</v>
      </c>
      <c r="I11" s="840">
        <f t="shared" si="2"/>
        <v>410557</v>
      </c>
    </row>
    <row r="12" spans="1:9" s="841" customFormat="1" ht="135" x14ac:dyDescent="0.2">
      <c r="A12" s="842" t="s">
        <v>223</v>
      </c>
      <c r="B12" s="843" t="s">
        <v>318</v>
      </c>
      <c r="C12" s="844" t="s">
        <v>112</v>
      </c>
      <c r="D12" s="839">
        <v>1182035</v>
      </c>
      <c r="E12" s="845">
        <f>135255+26381</f>
        <v>161636</v>
      </c>
      <c r="F12" s="845">
        <f>135255+21468</f>
        <v>156723</v>
      </c>
      <c r="G12" s="845">
        <f>135255+13463</f>
        <v>148718</v>
      </c>
      <c r="H12" s="845">
        <f>136055+6922</f>
        <v>142977</v>
      </c>
      <c r="I12" s="840">
        <f t="shared" si="2"/>
        <v>1792089</v>
      </c>
    </row>
    <row r="13" spans="1:9" s="841" customFormat="1" ht="22.5" x14ac:dyDescent="0.2">
      <c r="A13" s="842" t="s">
        <v>224</v>
      </c>
      <c r="B13" s="843" t="s">
        <v>312</v>
      </c>
      <c r="C13" s="844" t="s">
        <v>112</v>
      </c>
      <c r="D13" s="839">
        <v>8267112</v>
      </c>
      <c r="E13" s="845">
        <f>950000+171421</f>
        <v>1121421</v>
      </c>
      <c r="F13" s="845">
        <f>950000+127726</f>
        <v>1077726</v>
      </c>
      <c r="G13" s="845">
        <f>950000+82220</f>
        <v>1032220</v>
      </c>
      <c r="H13" s="845">
        <f>950000+17168</f>
        <v>967168</v>
      </c>
      <c r="I13" s="840">
        <f t="shared" si="2"/>
        <v>12465647</v>
      </c>
    </row>
    <row r="14" spans="1:9" s="841" customFormat="1" ht="45" x14ac:dyDescent="0.2">
      <c r="A14" s="842" t="s">
        <v>584</v>
      </c>
      <c r="B14" s="843" t="s">
        <v>335</v>
      </c>
      <c r="C14" s="844" t="s">
        <v>333</v>
      </c>
      <c r="D14" s="839">
        <v>5291097</v>
      </c>
      <c r="E14" s="845">
        <f>796000+154961</f>
        <v>950961</v>
      </c>
      <c r="F14" s="846">
        <f>796000+117093</f>
        <v>913093</v>
      </c>
      <c r="G14" s="846">
        <f>796000+78706</f>
        <v>874706</v>
      </c>
      <c r="H14" s="846">
        <f>796000+40690</f>
        <v>836690</v>
      </c>
      <c r="I14" s="840">
        <f t="shared" si="2"/>
        <v>8866547</v>
      </c>
    </row>
    <row r="15" spans="1:9" s="841" customFormat="1" ht="69" customHeight="1" x14ac:dyDescent="0.2">
      <c r="A15" s="842" t="s">
        <v>585</v>
      </c>
      <c r="B15" s="843" t="s">
        <v>331</v>
      </c>
      <c r="C15" s="844" t="s">
        <v>333</v>
      </c>
      <c r="D15" s="839">
        <v>9435272</v>
      </c>
      <c r="E15" s="845">
        <f>1436000+300603</f>
        <v>1736603</v>
      </c>
      <c r="F15" s="846">
        <f>1436000+232357</f>
        <v>1668357</v>
      </c>
      <c r="G15" s="846">
        <f>1436000+163109</f>
        <v>1599109</v>
      </c>
      <c r="H15" s="846">
        <f>1436000+94585</f>
        <v>1530585</v>
      </c>
      <c r="I15" s="840">
        <f t="shared" si="2"/>
        <v>15969926</v>
      </c>
    </row>
    <row r="16" spans="1:9" s="841" customFormat="1" ht="69" customHeight="1" x14ac:dyDescent="0.2">
      <c r="A16" s="847" t="s">
        <v>586</v>
      </c>
      <c r="B16" s="848" t="s">
        <v>431</v>
      </c>
      <c r="C16" s="849" t="s">
        <v>317</v>
      </c>
      <c r="D16" s="839">
        <f>55000000-46241619+1861713</f>
        <v>10620094</v>
      </c>
      <c r="E16" s="850">
        <f>5790000+1861713</f>
        <v>7651713</v>
      </c>
      <c r="F16" s="851">
        <f>5790000+1617642</f>
        <v>7407642</v>
      </c>
      <c r="G16" s="851">
        <f>5790000+1368149</f>
        <v>7158149</v>
      </c>
      <c r="H16" s="851">
        <f>5790000+1122065</f>
        <v>6912065</v>
      </c>
      <c r="I16" s="840">
        <f>SUM(D16:H16)</f>
        <v>39749663</v>
      </c>
    </row>
    <row r="17" spans="1:9" s="841" customFormat="1" ht="69" customHeight="1" x14ac:dyDescent="0.2">
      <c r="A17" s="847" t="s">
        <v>587</v>
      </c>
      <c r="B17" s="848" t="s">
        <v>459</v>
      </c>
      <c r="C17" s="849" t="s">
        <v>328</v>
      </c>
      <c r="D17" s="839">
        <f>3861200+1500000</f>
        <v>5361200</v>
      </c>
      <c r="E17" s="850">
        <f>3861200+1396929</f>
        <v>5258129</v>
      </c>
      <c r="F17" s="851">
        <f>3861200+1234534</f>
        <v>5095734</v>
      </c>
      <c r="G17" s="851">
        <f>3861200+1065152</f>
        <v>4926352</v>
      </c>
      <c r="H17" s="851">
        <f>3861200+904417</f>
        <v>4765617</v>
      </c>
      <c r="I17" s="840">
        <f t="shared" si="2"/>
        <v>25407032</v>
      </c>
    </row>
    <row r="18" spans="1:9" s="841" customFormat="1" ht="69" customHeight="1" x14ac:dyDescent="0.2">
      <c r="A18" s="847" t="s">
        <v>334</v>
      </c>
      <c r="B18" s="848" t="s">
        <v>338</v>
      </c>
      <c r="C18" s="849" t="s">
        <v>333</v>
      </c>
      <c r="D18" s="839">
        <v>1681127</v>
      </c>
      <c r="E18" s="850">
        <f>262000+52811</f>
        <v>314811</v>
      </c>
      <c r="F18" s="851">
        <f>262000+40347</f>
        <v>302347</v>
      </c>
      <c r="G18" s="851">
        <f>262000+27717</f>
        <v>289717</v>
      </c>
      <c r="H18" s="851">
        <f>262000+15201</f>
        <v>277201</v>
      </c>
      <c r="I18" s="840">
        <f>SUM(D18:H18)</f>
        <v>2865203</v>
      </c>
    </row>
    <row r="19" spans="1:9" s="841" customFormat="1" ht="69" customHeight="1" x14ac:dyDescent="0.2">
      <c r="A19" s="847" t="s">
        <v>336</v>
      </c>
      <c r="B19" s="848" t="s">
        <v>468</v>
      </c>
      <c r="C19" s="849" t="s">
        <v>380</v>
      </c>
      <c r="D19" s="839"/>
      <c r="E19" s="850">
        <f>676000+172416</f>
        <v>848416</v>
      </c>
      <c r="F19" s="851">
        <f>676000+154257</f>
        <v>830257</v>
      </c>
      <c r="G19" s="851">
        <f>676000+136091</f>
        <v>812091</v>
      </c>
      <c r="H19" s="851">
        <f>676000+118277</f>
        <v>794277</v>
      </c>
      <c r="I19" s="840">
        <f t="shared" ref="I19:I20" si="3">SUM(D19:H19)</f>
        <v>3285041</v>
      </c>
    </row>
    <row r="20" spans="1:9" s="841" customFormat="1" ht="60" customHeight="1" thickBot="1" x14ac:dyDescent="0.25">
      <c r="A20" s="847" t="s">
        <v>337</v>
      </c>
      <c r="B20" s="848" t="s">
        <v>451</v>
      </c>
      <c r="C20" s="849" t="s">
        <v>380</v>
      </c>
      <c r="D20" s="839"/>
      <c r="E20" s="850">
        <f>693000+176689</f>
        <v>869689</v>
      </c>
      <c r="F20" s="851">
        <f>693000+158069</f>
        <v>851069</v>
      </c>
      <c r="G20" s="851">
        <f>693000+139448</f>
        <v>832448</v>
      </c>
      <c r="H20" s="851">
        <f>693000+121185</f>
        <v>814185</v>
      </c>
      <c r="I20" s="840">
        <f t="shared" si="3"/>
        <v>3367391</v>
      </c>
    </row>
    <row r="21" spans="1:9" s="587" customFormat="1" ht="23.25" thickBot="1" x14ac:dyDescent="0.25">
      <c r="A21" s="633" t="s">
        <v>26</v>
      </c>
      <c r="B21" s="634" t="s">
        <v>89</v>
      </c>
      <c r="C21" s="635" t="s">
        <v>309</v>
      </c>
      <c r="D21" s="635">
        <f t="shared" ref="D21:I21" si="4">SUM(D22:D32)</f>
        <v>2130957801</v>
      </c>
      <c r="E21" s="635">
        <f t="shared" si="4"/>
        <v>172231017</v>
      </c>
      <c r="F21" s="635">
        <f t="shared" si="4"/>
        <v>10000000</v>
      </c>
      <c r="G21" s="635">
        <f t="shared" si="4"/>
        <v>0</v>
      </c>
      <c r="H21" s="635">
        <f t="shared" si="4"/>
        <v>0</v>
      </c>
      <c r="I21" s="635">
        <f t="shared" si="4"/>
        <v>2313188818</v>
      </c>
    </row>
    <row r="22" spans="1:9" s="841" customFormat="1" ht="45.75" thickBot="1" x14ac:dyDescent="0.25">
      <c r="A22" s="720" t="s">
        <v>74</v>
      </c>
      <c r="B22" s="852" t="s">
        <v>588</v>
      </c>
      <c r="C22" s="853" t="s">
        <v>317</v>
      </c>
      <c r="D22" s="853">
        <v>1744002666</v>
      </c>
      <c r="E22" s="853">
        <f>'Felhalmozás 5.mell.'!D31</f>
        <v>94035364</v>
      </c>
      <c r="F22" s="853"/>
      <c r="G22" s="853"/>
      <c r="H22" s="853"/>
      <c r="I22" s="854">
        <f t="shared" ref="I22:I32" si="5">SUM(D22:H22)</f>
        <v>1838038030</v>
      </c>
    </row>
    <row r="23" spans="1:9" s="841" customFormat="1" ht="34.5" thickBot="1" x14ac:dyDescent="0.25">
      <c r="A23" s="720" t="s">
        <v>75</v>
      </c>
      <c r="B23" s="852" t="s">
        <v>589</v>
      </c>
      <c r="C23" s="853" t="s">
        <v>328</v>
      </c>
      <c r="D23" s="853">
        <v>3043926</v>
      </c>
      <c r="E23" s="855">
        <v>7102494</v>
      </c>
      <c r="F23" s="853"/>
      <c r="G23" s="853"/>
      <c r="H23" s="853"/>
      <c r="I23" s="854">
        <f t="shared" si="5"/>
        <v>10146420</v>
      </c>
    </row>
    <row r="24" spans="1:9" s="841" customFormat="1" ht="57" thickBot="1" x14ac:dyDescent="0.25">
      <c r="A24" s="720" t="s">
        <v>594</v>
      </c>
      <c r="B24" s="852" t="s">
        <v>437</v>
      </c>
      <c r="C24" s="853" t="s">
        <v>316</v>
      </c>
      <c r="D24" s="853">
        <f>203200+190500</f>
        <v>393700</v>
      </c>
      <c r="E24" s="853">
        <v>1892935</v>
      </c>
      <c r="F24" s="853"/>
      <c r="G24" s="853"/>
      <c r="H24" s="853"/>
      <c r="I24" s="854">
        <f t="shared" si="5"/>
        <v>2286635</v>
      </c>
    </row>
    <row r="25" spans="1:9" s="841" customFormat="1" ht="57" thickBot="1" x14ac:dyDescent="0.25">
      <c r="A25" s="720" t="s">
        <v>225</v>
      </c>
      <c r="B25" s="852" t="s">
        <v>590</v>
      </c>
      <c r="C25" s="853" t="s">
        <v>317</v>
      </c>
      <c r="D25" s="853">
        <f>3437500+1375000</f>
        <v>4812500</v>
      </c>
      <c r="E25" s="853">
        <v>8937500</v>
      </c>
      <c r="F25" s="853"/>
      <c r="G25" s="853"/>
      <c r="H25" s="853"/>
      <c r="I25" s="854">
        <f t="shared" si="5"/>
        <v>13750000</v>
      </c>
    </row>
    <row r="26" spans="1:9" s="841" customFormat="1" ht="23.25" thickBot="1" x14ac:dyDescent="0.25">
      <c r="A26" s="720" t="s">
        <v>226</v>
      </c>
      <c r="B26" s="852" t="s">
        <v>592</v>
      </c>
      <c r="C26" s="853" t="s">
        <v>380</v>
      </c>
      <c r="D26" s="853">
        <v>17416797</v>
      </c>
      <c r="E26" s="853">
        <v>5350257</v>
      </c>
      <c r="F26" s="853"/>
      <c r="G26" s="853"/>
      <c r="H26" s="853"/>
      <c r="I26" s="854">
        <f t="shared" si="5"/>
        <v>22767054</v>
      </c>
    </row>
    <row r="27" spans="1:9" s="841" customFormat="1" ht="45.75" thickBot="1" x14ac:dyDescent="0.25">
      <c r="A27" s="720" t="s">
        <v>339</v>
      </c>
      <c r="B27" s="852" t="s">
        <v>593</v>
      </c>
      <c r="C27" s="853" t="s">
        <v>380</v>
      </c>
      <c r="D27" s="853">
        <f>61606277+77007846+77007846+92409415</f>
        <v>308031384</v>
      </c>
      <c r="E27" s="853">
        <f>332363953-D27</f>
        <v>24332569</v>
      </c>
      <c r="F27" s="853"/>
      <c r="G27" s="853"/>
      <c r="H27" s="853"/>
      <c r="I27" s="854">
        <f t="shared" si="5"/>
        <v>332363953</v>
      </c>
    </row>
    <row r="28" spans="1:9" s="841" customFormat="1" ht="57" thickBot="1" x14ac:dyDescent="0.25">
      <c r="A28" s="720" t="s">
        <v>407</v>
      </c>
      <c r="B28" s="852" t="s">
        <v>433</v>
      </c>
      <c r="C28" s="853" t="s">
        <v>316</v>
      </c>
      <c r="D28" s="853"/>
      <c r="E28" s="853">
        <v>1403350</v>
      </c>
      <c r="F28" s="853"/>
      <c r="G28" s="853"/>
      <c r="H28" s="853"/>
      <c r="I28" s="854">
        <f t="shared" si="5"/>
        <v>1403350</v>
      </c>
    </row>
    <row r="29" spans="1:9" s="841" customFormat="1" ht="57" thickBot="1" x14ac:dyDescent="0.25">
      <c r="A29" s="720" t="s">
        <v>432</v>
      </c>
      <c r="B29" s="852" t="s">
        <v>591</v>
      </c>
      <c r="C29" s="853" t="s">
        <v>380</v>
      </c>
      <c r="D29" s="853">
        <v>40596828</v>
      </c>
      <c r="E29" s="853">
        <v>2356548</v>
      </c>
      <c r="F29" s="853"/>
      <c r="G29" s="853"/>
      <c r="H29" s="853"/>
      <c r="I29" s="854">
        <f t="shared" si="5"/>
        <v>42953376</v>
      </c>
    </row>
    <row r="30" spans="1:9" s="841" customFormat="1" ht="79.5" thickBot="1" x14ac:dyDescent="0.25">
      <c r="A30" s="720" t="s">
        <v>434</v>
      </c>
      <c r="B30" s="852" t="s">
        <v>438</v>
      </c>
      <c r="C30" s="853" t="s">
        <v>316</v>
      </c>
      <c r="D30" s="853">
        <v>2710000</v>
      </c>
      <c r="E30" s="853">
        <v>2710000</v>
      </c>
      <c r="F30" s="853"/>
      <c r="G30" s="853"/>
      <c r="H30" s="853"/>
      <c r="I30" s="854">
        <f t="shared" si="5"/>
        <v>5420000</v>
      </c>
    </row>
    <row r="31" spans="1:9" s="841" customFormat="1" ht="23.25" thickBot="1" x14ac:dyDescent="0.25">
      <c r="A31" s="720" t="s">
        <v>435</v>
      </c>
      <c r="B31" s="852" t="s">
        <v>397</v>
      </c>
      <c r="C31" s="853" t="s">
        <v>328</v>
      </c>
      <c r="D31" s="853">
        <v>7250000</v>
      </c>
      <c r="E31" s="853">
        <f>20360000+3750000</f>
        <v>24110000</v>
      </c>
      <c r="F31" s="853"/>
      <c r="G31" s="853"/>
      <c r="H31" s="853"/>
      <c r="I31" s="854">
        <f t="shared" si="5"/>
        <v>31360000</v>
      </c>
    </row>
    <row r="32" spans="1:9" s="841" customFormat="1" ht="23.25" thickBot="1" x14ac:dyDescent="0.25">
      <c r="A32" s="720" t="s">
        <v>436</v>
      </c>
      <c r="B32" s="852" t="s">
        <v>426</v>
      </c>
      <c r="C32" s="853">
        <v>2019</v>
      </c>
      <c r="D32" s="853">
        <v>2700000</v>
      </c>
      <c r="E32" s="853"/>
      <c r="F32" s="853">
        <v>10000000</v>
      </c>
      <c r="G32" s="853"/>
      <c r="H32" s="853"/>
      <c r="I32" s="854">
        <f t="shared" si="5"/>
        <v>12700000</v>
      </c>
    </row>
    <row r="33" spans="1:9" s="587" customFormat="1" ht="69" customHeight="1" thickBot="1" x14ac:dyDescent="0.25">
      <c r="A33" s="588" t="s">
        <v>20</v>
      </c>
      <c r="B33" s="566" t="s">
        <v>94</v>
      </c>
      <c r="C33" s="566"/>
      <c r="D33" s="566">
        <f>SUM(D34:D58)</f>
        <v>117600923</v>
      </c>
      <c r="E33" s="566">
        <f t="shared" ref="E33:I33" si="6">SUM(E34:E58)</f>
        <v>23093034</v>
      </c>
      <c r="F33" s="566">
        <f t="shared" si="6"/>
        <v>21479004</v>
      </c>
      <c r="G33" s="566">
        <f t="shared" si="6"/>
        <v>21479004</v>
      </c>
      <c r="H33" s="566">
        <f t="shared" si="6"/>
        <v>21479004</v>
      </c>
      <c r="I33" s="567">
        <f t="shared" si="6"/>
        <v>205130969</v>
      </c>
    </row>
    <row r="34" spans="1:9" s="660" customFormat="1" ht="45" x14ac:dyDescent="0.2">
      <c r="A34" s="655" t="s">
        <v>227</v>
      </c>
      <c r="B34" s="656" t="s">
        <v>406</v>
      </c>
      <c r="C34" s="657" t="s">
        <v>394</v>
      </c>
      <c r="D34" s="657">
        <v>1000000</v>
      </c>
      <c r="E34" s="657"/>
      <c r="F34" s="658"/>
      <c r="G34" s="658"/>
      <c r="H34" s="658"/>
      <c r="I34" s="659">
        <f>D34+E34+F34+G34+H34</f>
        <v>1000000</v>
      </c>
    </row>
    <row r="35" spans="1:9" s="660" customFormat="1" ht="11.25" x14ac:dyDescent="0.2">
      <c r="A35" s="627" t="s">
        <v>228</v>
      </c>
      <c r="B35" s="636" t="s">
        <v>138</v>
      </c>
      <c r="C35" s="628" t="s">
        <v>103</v>
      </c>
      <c r="D35" s="629">
        <f>5064360+E35</f>
        <v>5933040</v>
      </c>
      <c r="E35" s="629">
        <v>868680</v>
      </c>
      <c r="F35" s="629">
        <v>868680</v>
      </c>
      <c r="G35" s="629">
        <v>868680</v>
      </c>
      <c r="H35" s="629">
        <v>868680</v>
      </c>
      <c r="I35" s="626">
        <f t="shared" ref="I35:I40" si="7">D35+E35+F35+G35+H35</f>
        <v>9407760</v>
      </c>
    </row>
    <row r="36" spans="1:9" s="660" customFormat="1" ht="22.5" x14ac:dyDescent="0.2">
      <c r="A36" s="627" t="s">
        <v>595</v>
      </c>
      <c r="B36" s="636" t="s">
        <v>220</v>
      </c>
      <c r="C36" s="628" t="s">
        <v>219</v>
      </c>
      <c r="D36" s="629">
        <f>7040000+E36</f>
        <v>8240000</v>
      </c>
      <c r="E36" s="629">
        <v>1200000</v>
      </c>
      <c r="F36" s="629">
        <v>1200000</v>
      </c>
      <c r="G36" s="629">
        <v>1200000</v>
      </c>
      <c r="H36" s="629">
        <v>1200000</v>
      </c>
      <c r="I36" s="626">
        <f t="shared" si="7"/>
        <v>13040000</v>
      </c>
    </row>
    <row r="37" spans="1:9" s="660" customFormat="1" ht="33.75" x14ac:dyDescent="0.2">
      <c r="A37" s="627" t="s">
        <v>596</v>
      </c>
      <c r="B37" s="636" t="s">
        <v>221</v>
      </c>
      <c r="C37" s="628" t="s">
        <v>111</v>
      </c>
      <c r="D37" s="629">
        <f>3960000+660000+660000</f>
        <v>5280000</v>
      </c>
      <c r="E37" s="629">
        <v>660000</v>
      </c>
      <c r="F37" s="629">
        <v>660000</v>
      </c>
      <c r="G37" s="629">
        <v>660000</v>
      </c>
      <c r="H37" s="629">
        <v>660000</v>
      </c>
      <c r="I37" s="626">
        <f t="shared" si="7"/>
        <v>7920000</v>
      </c>
    </row>
    <row r="38" spans="1:9" s="660" customFormat="1" ht="11.25" x14ac:dyDescent="0.2">
      <c r="A38" s="627" t="s">
        <v>229</v>
      </c>
      <c r="B38" s="636" t="s">
        <v>222</v>
      </c>
      <c r="C38" s="628" t="s">
        <v>219</v>
      </c>
      <c r="D38" s="629">
        <f>10035000+1905000+E38</f>
        <v>13440000</v>
      </c>
      <c r="E38" s="629">
        <v>1500000</v>
      </c>
      <c r="F38" s="629">
        <v>1500000</v>
      </c>
      <c r="G38" s="629">
        <v>1500000</v>
      </c>
      <c r="H38" s="629">
        <v>1500000</v>
      </c>
      <c r="I38" s="626">
        <f t="shared" si="7"/>
        <v>19440000</v>
      </c>
    </row>
    <row r="39" spans="1:9" s="660" customFormat="1" ht="22.5" x14ac:dyDescent="0.2">
      <c r="A39" s="630" t="s">
        <v>230</v>
      </c>
      <c r="B39" s="637" t="s">
        <v>340</v>
      </c>
      <c r="C39" s="631" t="s">
        <v>333</v>
      </c>
      <c r="D39" s="632">
        <f>3112000+E39</f>
        <v>3874000</v>
      </c>
      <c r="E39" s="632">
        <v>762000</v>
      </c>
      <c r="F39" s="632">
        <v>762000</v>
      </c>
      <c r="G39" s="632">
        <v>762000</v>
      </c>
      <c r="H39" s="632">
        <v>762000</v>
      </c>
      <c r="I39" s="626">
        <f t="shared" si="7"/>
        <v>6922000</v>
      </c>
    </row>
    <row r="40" spans="1:9" s="660" customFormat="1" ht="11.25" x14ac:dyDescent="0.2">
      <c r="A40" s="627" t="s">
        <v>313</v>
      </c>
      <c r="B40" s="636" t="s">
        <v>250</v>
      </c>
      <c r="C40" s="628" t="s">
        <v>251</v>
      </c>
      <c r="D40" s="629">
        <f>38182564+E40</f>
        <v>39796594</v>
      </c>
      <c r="E40" s="629">
        <f>3873672/12*5</f>
        <v>1614030</v>
      </c>
      <c r="F40" s="629"/>
      <c r="G40" s="629"/>
      <c r="H40" s="629"/>
      <c r="I40" s="626">
        <f t="shared" si="7"/>
        <v>41410624</v>
      </c>
    </row>
    <row r="41" spans="1:9" s="660" customFormat="1" ht="22.5" x14ac:dyDescent="0.2">
      <c r="A41" s="627" t="s">
        <v>231</v>
      </c>
      <c r="B41" s="636" t="s">
        <v>254</v>
      </c>
      <c r="C41" s="628" t="s">
        <v>219</v>
      </c>
      <c r="D41" s="629">
        <f>956000+162000+E41</f>
        <v>1280000</v>
      </c>
      <c r="E41" s="629">
        <v>162000</v>
      </c>
      <c r="F41" s="629">
        <v>162000</v>
      </c>
      <c r="G41" s="629">
        <v>162000</v>
      </c>
      <c r="H41" s="629">
        <v>162000</v>
      </c>
      <c r="I41" s="661">
        <f t="shared" ref="I41:I58" si="8">SUM(D41:H41)</f>
        <v>1928000</v>
      </c>
    </row>
    <row r="42" spans="1:9" s="660" customFormat="1" ht="22.5" x14ac:dyDescent="0.2">
      <c r="A42" s="627" t="s">
        <v>232</v>
      </c>
      <c r="B42" s="636" t="s">
        <v>256</v>
      </c>
      <c r="C42" s="628" t="s">
        <v>111</v>
      </c>
      <c r="D42" s="629">
        <f>1077500+139500+E42</f>
        <v>1356500</v>
      </c>
      <c r="E42" s="629">
        <v>139500</v>
      </c>
      <c r="F42" s="629">
        <v>139500</v>
      </c>
      <c r="G42" s="629">
        <v>139500</v>
      </c>
      <c r="H42" s="629">
        <v>139500</v>
      </c>
      <c r="I42" s="661">
        <f t="shared" si="8"/>
        <v>1914500</v>
      </c>
    </row>
    <row r="43" spans="1:9" s="660" customFormat="1" ht="22.5" x14ac:dyDescent="0.2">
      <c r="A43" s="627" t="s">
        <v>233</v>
      </c>
      <c r="B43" s="636" t="s">
        <v>430</v>
      </c>
      <c r="C43" s="628" t="s">
        <v>111</v>
      </c>
      <c r="D43" s="629">
        <f>2728680+624840+E43</f>
        <v>3978360</v>
      </c>
      <c r="E43" s="629">
        <v>624840</v>
      </c>
      <c r="F43" s="629">
        <v>624840</v>
      </c>
      <c r="G43" s="629">
        <v>624840</v>
      </c>
      <c r="H43" s="629">
        <v>624840</v>
      </c>
      <c r="I43" s="661">
        <f t="shared" si="8"/>
        <v>6477720</v>
      </c>
    </row>
    <row r="44" spans="1:9" s="660" customFormat="1" ht="22.5" x14ac:dyDescent="0.2">
      <c r="A44" s="627" t="s">
        <v>234</v>
      </c>
      <c r="B44" s="636" t="s">
        <v>259</v>
      </c>
      <c r="C44" s="628" t="s">
        <v>219</v>
      </c>
      <c r="D44" s="629">
        <f>296750+83000+E44</f>
        <v>462750</v>
      </c>
      <c r="E44" s="629">
        <v>83000</v>
      </c>
      <c r="F44" s="629">
        <v>83000</v>
      </c>
      <c r="G44" s="629">
        <v>83000</v>
      </c>
      <c r="H44" s="629">
        <v>83000</v>
      </c>
      <c r="I44" s="661">
        <f t="shared" si="8"/>
        <v>794750</v>
      </c>
    </row>
    <row r="45" spans="1:9" s="660" customFormat="1" ht="22.5" x14ac:dyDescent="0.2">
      <c r="A45" s="627" t="s">
        <v>239</v>
      </c>
      <c r="B45" s="636" t="s">
        <v>260</v>
      </c>
      <c r="C45" s="628" t="s">
        <v>111</v>
      </c>
      <c r="D45" s="629">
        <f>1732218+E45</f>
        <v>1952436</v>
      </c>
      <c r="E45" s="629">
        <v>220218</v>
      </c>
      <c r="F45" s="629">
        <v>220218</v>
      </c>
      <c r="G45" s="629">
        <v>220218</v>
      </c>
      <c r="H45" s="629">
        <v>220218</v>
      </c>
      <c r="I45" s="661">
        <f t="shared" si="8"/>
        <v>2833308</v>
      </c>
    </row>
    <row r="46" spans="1:9" s="660" customFormat="1" ht="33.75" x14ac:dyDescent="0.2">
      <c r="A46" s="627" t="s">
        <v>249</v>
      </c>
      <c r="B46" s="636" t="s">
        <v>262</v>
      </c>
      <c r="C46" s="628" t="s">
        <v>111</v>
      </c>
      <c r="D46" s="629">
        <f>253000+E46</f>
        <v>285000</v>
      </c>
      <c r="E46" s="629">
        <v>32000</v>
      </c>
      <c r="F46" s="629">
        <v>32000</v>
      </c>
      <c r="G46" s="629">
        <v>32000</v>
      </c>
      <c r="H46" s="629">
        <v>32000</v>
      </c>
      <c r="I46" s="661">
        <f t="shared" si="8"/>
        <v>413000</v>
      </c>
    </row>
    <row r="47" spans="1:9" s="660" customFormat="1" ht="22.5" x14ac:dyDescent="0.2">
      <c r="A47" s="627" t="s">
        <v>252</v>
      </c>
      <c r="B47" s="636" t="s">
        <v>266</v>
      </c>
      <c r="C47" s="628" t="s">
        <v>111</v>
      </c>
      <c r="D47" s="629">
        <f>297720+E47</f>
        <v>343440</v>
      </c>
      <c r="E47" s="629">
        <v>45720</v>
      </c>
      <c r="F47" s="629">
        <v>45720</v>
      </c>
      <c r="G47" s="629">
        <v>45720</v>
      </c>
      <c r="H47" s="629">
        <v>45720</v>
      </c>
      <c r="I47" s="661">
        <f t="shared" si="8"/>
        <v>526320</v>
      </c>
    </row>
    <row r="48" spans="1:9" s="660" customFormat="1" ht="11.25" x14ac:dyDescent="0.2">
      <c r="A48" s="627" t="s">
        <v>253</v>
      </c>
      <c r="B48" s="636" t="s">
        <v>341</v>
      </c>
      <c r="C48" s="628" t="s">
        <v>111</v>
      </c>
      <c r="D48" s="629">
        <f>682924+E48</f>
        <v>836848</v>
      </c>
      <c r="E48" s="629">
        <v>153924</v>
      </c>
      <c r="F48" s="629">
        <v>153924</v>
      </c>
      <c r="G48" s="629">
        <v>153924</v>
      </c>
      <c r="H48" s="629">
        <v>153924</v>
      </c>
      <c r="I48" s="661">
        <f t="shared" si="8"/>
        <v>1452544</v>
      </c>
    </row>
    <row r="49" spans="1:9" s="660" customFormat="1" ht="45" x14ac:dyDescent="0.2">
      <c r="A49" s="627" t="s">
        <v>255</v>
      </c>
      <c r="B49" s="636" t="s">
        <v>314</v>
      </c>
      <c r="C49" s="628" t="s">
        <v>111</v>
      </c>
      <c r="D49" s="629">
        <f>4917592+363169+274386+274386+274386-214736</f>
        <v>5889183</v>
      </c>
      <c r="E49" s="629">
        <v>1856196</v>
      </c>
      <c r="F49" s="629">
        <v>1856196</v>
      </c>
      <c r="G49" s="629">
        <v>1856196</v>
      </c>
      <c r="H49" s="629">
        <v>1856196</v>
      </c>
      <c r="I49" s="661">
        <f t="shared" si="8"/>
        <v>13313967</v>
      </c>
    </row>
    <row r="50" spans="1:9" s="660" customFormat="1" ht="45" x14ac:dyDescent="0.2">
      <c r="A50" s="627" t="s">
        <v>257</v>
      </c>
      <c r="B50" s="636" t="s">
        <v>342</v>
      </c>
      <c r="C50" s="628" t="s">
        <v>112</v>
      </c>
      <c r="D50" s="629">
        <f>5413650+882650+778256</f>
        <v>7074556</v>
      </c>
      <c r="E50" s="629">
        <v>778256</v>
      </c>
      <c r="F50" s="629">
        <v>778256</v>
      </c>
      <c r="G50" s="629">
        <v>778256</v>
      </c>
      <c r="H50" s="629">
        <v>778256</v>
      </c>
      <c r="I50" s="661">
        <f t="shared" si="8"/>
        <v>10187580</v>
      </c>
    </row>
    <row r="51" spans="1:9" s="660" customFormat="1" ht="33.75" x14ac:dyDescent="0.2">
      <c r="A51" s="627" t="s">
        <v>258</v>
      </c>
      <c r="B51" s="636" t="s">
        <v>315</v>
      </c>
      <c r="C51" s="628" t="s">
        <v>111</v>
      </c>
      <c r="D51" s="629">
        <f>1140000+228000</f>
        <v>1368000</v>
      </c>
      <c r="E51" s="629">
        <v>228000</v>
      </c>
      <c r="F51" s="629">
        <v>228000</v>
      </c>
      <c r="G51" s="629">
        <v>228000</v>
      </c>
      <c r="H51" s="629">
        <v>228000</v>
      </c>
      <c r="I51" s="661">
        <f t="shared" si="8"/>
        <v>2280000</v>
      </c>
    </row>
    <row r="52" spans="1:9" s="660" customFormat="1" ht="22.5" x14ac:dyDescent="0.2">
      <c r="A52" s="627" t="s">
        <v>597</v>
      </c>
      <c r="B52" s="636" t="s">
        <v>343</v>
      </c>
      <c r="C52" s="628" t="s">
        <v>333</v>
      </c>
      <c r="D52" s="629">
        <v>189720</v>
      </c>
      <c r="E52" s="629">
        <v>45720</v>
      </c>
      <c r="F52" s="629">
        <v>45720</v>
      </c>
      <c r="G52" s="629">
        <v>45720</v>
      </c>
      <c r="H52" s="629">
        <v>45720</v>
      </c>
      <c r="I52" s="661">
        <f t="shared" si="8"/>
        <v>372600</v>
      </c>
    </row>
    <row r="53" spans="1:9" s="660" customFormat="1" ht="22.5" x14ac:dyDescent="0.2">
      <c r="A53" s="630" t="s">
        <v>261</v>
      </c>
      <c r="B53" s="637" t="s">
        <v>460</v>
      </c>
      <c r="C53" s="631" t="s">
        <v>328</v>
      </c>
      <c r="D53" s="632">
        <f>38100+252400</f>
        <v>290500</v>
      </c>
      <c r="E53" s="632">
        <v>152400</v>
      </c>
      <c r="F53" s="632">
        <v>152400</v>
      </c>
      <c r="G53" s="632">
        <v>152400</v>
      </c>
      <c r="H53" s="632">
        <v>152400</v>
      </c>
      <c r="I53" s="661">
        <f t="shared" si="8"/>
        <v>900100</v>
      </c>
    </row>
    <row r="54" spans="1:9" s="660" customFormat="1" ht="11.25" x14ac:dyDescent="0.2">
      <c r="A54" s="630" t="s">
        <v>263</v>
      </c>
      <c r="B54" s="637" t="s">
        <v>461</v>
      </c>
      <c r="C54" s="631" t="s">
        <v>328</v>
      </c>
      <c r="D54" s="632">
        <v>133750</v>
      </c>
      <c r="E54" s="632">
        <v>133750</v>
      </c>
      <c r="F54" s="632">
        <v>133750</v>
      </c>
      <c r="G54" s="632">
        <v>133750</v>
      </c>
      <c r="H54" s="632">
        <v>133750</v>
      </c>
      <c r="I54" s="661">
        <f t="shared" si="8"/>
        <v>668750</v>
      </c>
    </row>
    <row r="55" spans="1:9" s="660" customFormat="1" ht="11.25" x14ac:dyDescent="0.2">
      <c r="A55" s="630" t="s">
        <v>264</v>
      </c>
      <c r="B55" s="637" t="s">
        <v>462</v>
      </c>
      <c r="C55" s="631">
        <v>2018</v>
      </c>
      <c r="D55" s="632">
        <f>6711310+(7*671131+533157+1342262)</f>
        <v>13284646</v>
      </c>
      <c r="E55" s="632">
        <v>11401000</v>
      </c>
      <c r="F55" s="632">
        <v>11401000</v>
      </c>
      <c r="G55" s="632">
        <v>11401000</v>
      </c>
      <c r="H55" s="632">
        <v>11401000</v>
      </c>
      <c r="I55" s="661">
        <f t="shared" si="8"/>
        <v>58888646</v>
      </c>
    </row>
    <row r="56" spans="1:9" s="660" customFormat="1" ht="33.75" x14ac:dyDescent="0.2">
      <c r="A56" s="630" t="s">
        <v>265</v>
      </c>
      <c r="B56" s="637" t="s">
        <v>464</v>
      </c>
      <c r="C56" s="631" t="s">
        <v>328</v>
      </c>
      <c r="D56" s="632">
        <v>546100</v>
      </c>
      <c r="E56" s="632">
        <v>228600</v>
      </c>
      <c r="F56" s="632">
        <v>228600</v>
      </c>
      <c r="G56" s="632">
        <v>228600</v>
      </c>
      <c r="H56" s="632">
        <v>228600</v>
      </c>
      <c r="I56" s="661">
        <f t="shared" si="8"/>
        <v>1460500</v>
      </c>
    </row>
    <row r="57" spans="1:9" s="660" customFormat="1" ht="33.75" x14ac:dyDescent="0.2">
      <c r="A57" s="630" t="s">
        <v>465</v>
      </c>
      <c r="B57" s="637" t="s">
        <v>463</v>
      </c>
      <c r="C57" s="631" t="s">
        <v>328</v>
      </c>
      <c r="D57" s="632">
        <v>215900</v>
      </c>
      <c r="E57" s="632">
        <v>152400</v>
      </c>
      <c r="F57" s="632">
        <v>152400</v>
      </c>
      <c r="G57" s="632">
        <v>152400</v>
      </c>
      <c r="H57" s="632">
        <v>152400</v>
      </c>
      <c r="I57" s="661">
        <f t="shared" si="8"/>
        <v>825500</v>
      </c>
    </row>
    <row r="58" spans="1:9" s="660" customFormat="1" ht="22.5" x14ac:dyDescent="0.2">
      <c r="A58" s="630" t="s">
        <v>466</v>
      </c>
      <c r="B58" s="637" t="s">
        <v>344</v>
      </c>
      <c r="C58" s="631" t="s">
        <v>333</v>
      </c>
      <c r="D58" s="632">
        <f>498800+50800</f>
        <v>549600</v>
      </c>
      <c r="E58" s="632">
        <v>50800</v>
      </c>
      <c r="F58" s="632">
        <v>50800</v>
      </c>
      <c r="G58" s="632">
        <v>50800</v>
      </c>
      <c r="H58" s="632">
        <v>50800</v>
      </c>
      <c r="I58" s="662">
        <f t="shared" si="8"/>
        <v>752800</v>
      </c>
    </row>
    <row r="59" spans="1:9" s="436" customFormat="1" ht="69" customHeight="1" x14ac:dyDescent="0.2">
      <c r="A59" s="939" t="s">
        <v>41</v>
      </c>
      <c r="B59" s="939"/>
      <c r="C59" s="638"/>
      <c r="D59" s="639">
        <f t="shared" ref="D59:I59" si="9">D33+D21+D7</f>
        <v>2320600670</v>
      </c>
      <c r="E59" s="639">
        <f t="shared" si="9"/>
        <v>218957023</v>
      </c>
      <c r="F59" s="639">
        <f t="shared" si="9"/>
        <v>54302489</v>
      </c>
      <c r="G59" s="639">
        <f t="shared" si="9"/>
        <v>43482250</v>
      </c>
      <c r="H59" s="639">
        <f t="shared" si="9"/>
        <v>41969822</v>
      </c>
      <c r="I59" s="639">
        <f t="shared" si="9"/>
        <v>2679312254</v>
      </c>
    </row>
    <row r="60" spans="1:9" s="436" customFormat="1" ht="69" customHeight="1" x14ac:dyDescent="0.2">
      <c r="A60"/>
      <c r="B60"/>
      <c r="C60"/>
      <c r="D60"/>
      <c r="E60"/>
      <c r="F60"/>
      <c r="G60"/>
      <c r="H60"/>
      <c r="I60"/>
    </row>
    <row r="61" spans="1:9" s="436" customFormat="1" ht="69" customHeight="1" x14ac:dyDescent="0.2">
      <c r="A61"/>
      <c r="B61"/>
      <c r="C61"/>
      <c r="D61"/>
      <c r="E61"/>
      <c r="F61"/>
      <c r="G61"/>
      <c r="H61"/>
      <c r="I61"/>
    </row>
    <row r="62" spans="1:9" s="436" customFormat="1" ht="69" customHeight="1" x14ac:dyDescent="0.2">
      <c r="A62"/>
      <c r="B62"/>
      <c r="C62"/>
      <c r="D62"/>
      <c r="E62"/>
      <c r="F62"/>
      <c r="G62"/>
      <c r="H62"/>
      <c r="I62"/>
    </row>
    <row r="63" spans="1:9" s="436" customFormat="1" ht="69" customHeight="1" x14ac:dyDescent="0.2">
      <c r="A63"/>
      <c r="B63"/>
      <c r="C63"/>
      <c r="D63"/>
      <c r="E63"/>
      <c r="F63"/>
      <c r="G63"/>
      <c r="H63"/>
      <c r="I63"/>
    </row>
    <row r="64" spans="1:9" s="436" customFormat="1" ht="69" customHeight="1" x14ac:dyDescent="0.2">
      <c r="A64"/>
      <c r="B64"/>
      <c r="C64"/>
      <c r="D64"/>
      <c r="E64"/>
      <c r="F64"/>
      <c r="G64"/>
      <c r="H64"/>
      <c r="I64"/>
    </row>
    <row r="65" spans="1:12" s="436" customFormat="1" ht="69" customHeight="1" x14ac:dyDescent="0.2">
      <c r="A65"/>
      <c r="B65"/>
      <c r="C65"/>
      <c r="D65"/>
      <c r="E65"/>
      <c r="F65"/>
      <c r="G65"/>
      <c r="H65"/>
      <c r="I65"/>
    </row>
    <row r="66" spans="1:12" s="436" customFormat="1" ht="69" customHeight="1" x14ac:dyDescent="0.2">
      <c r="A66"/>
      <c r="B66"/>
      <c r="C66"/>
      <c r="D66"/>
      <c r="E66"/>
      <c r="F66"/>
      <c r="G66"/>
      <c r="H66"/>
      <c r="I66"/>
    </row>
    <row r="67" spans="1:12" s="436" customFormat="1" ht="69" customHeight="1" x14ac:dyDescent="0.2">
      <c r="A67"/>
      <c r="B67"/>
      <c r="C67"/>
      <c r="D67"/>
      <c r="E67"/>
      <c r="F67"/>
      <c r="G67"/>
      <c r="H67"/>
      <c r="I67"/>
    </row>
    <row r="68" spans="1:12" s="434" customFormat="1" ht="69" customHeight="1" x14ac:dyDescent="0.2">
      <c r="A68"/>
      <c r="B68"/>
      <c r="C68"/>
      <c r="D68"/>
      <c r="E68"/>
      <c r="F68"/>
      <c r="G68"/>
      <c r="H68"/>
      <c r="I68"/>
    </row>
    <row r="76" spans="1:12" x14ac:dyDescent="0.2">
      <c r="B76" s="564">
        <v>18574565</v>
      </c>
      <c r="C76" s="564"/>
      <c r="D76" s="564">
        <v>18574565</v>
      </c>
      <c r="E76" s="564">
        <v>18574565</v>
      </c>
      <c r="F76" s="564">
        <v>17821889</v>
      </c>
      <c r="G76" s="564"/>
      <c r="H76" s="564"/>
      <c r="I76" s="564"/>
      <c r="J76" s="564"/>
      <c r="K76" s="564"/>
      <c r="L76" s="564"/>
    </row>
    <row r="77" spans="1:12" x14ac:dyDescent="0.2">
      <c r="B77" s="564">
        <v>5058407</v>
      </c>
      <c r="C77" s="564"/>
      <c r="D77" s="564">
        <v>4248920</v>
      </c>
      <c r="E77" s="564">
        <v>3428681</v>
      </c>
      <c r="F77" s="564">
        <v>2668929</v>
      </c>
      <c r="G77" s="564"/>
      <c r="H77" s="564"/>
      <c r="I77" s="564"/>
      <c r="J77" s="564"/>
      <c r="K77" s="564"/>
      <c r="L77" s="564"/>
    </row>
    <row r="78" spans="1:12" x14ac:dyDescent="0.2">
      <c r="B78" s="564">
        <f>SUM(B76:B77)</f>
        <v>23632972</v>
      </c>
      <c r="C78" s="564">
        <f t="shared" ref="C78:K78" si="10">SUM(C76:C77)</f>
        <v>0</v>
      </c>
      <c r="D78" s="564">
        <f t="shared" si="10"/>
        <v>22823485</v>
      </c>
      <c r="E78" s="564">
        <f t="shared" si="10"/>
        <v>22003246</v>
      </c>
      <c r="F78" s="564">
        <f t="shared" si="10"/>
        <v>20490818</v>
      </c>
      <c r="G78" s="564">
        <f t="shared" si="10"/>
        <v>0</v>
      </c>
      <c r="H78" s="564">
        <f t="shared" si="10"/>
        <v>0</v>
      </c>
      <c r="I78" s="564">
        <f t="shared" si="10"/>
        <v>0</v>
      </c>
      <c r="J78" s="564">
        <f t="shared" si="10"/>
        <v>0</v>
      </c>
      <c r="K78" s="564">
        <f t="shared" si="10"/>
        <v>0</v>
      </c>
      <c r="L78" s="564"/>
    </row>
  </sheetData>
  <mergeCells count="8">
    <mergeCell ref="A59:B59"/>
    <mergeCell ref="A1:I1"/>
    <mergeCell ref="A3:A4"/>
    <mergeCell ref="B3:B4"/>
    <mergeCell ref="C3:C4"/>
    <mergeCell ref="D3:D4"/>
    <mergeCell ref="E3:H3"/>
    <mergeCell ref="I3:I4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Header>&amp;R6. sz. melléklet
...../2021.(II.15.) Egyek Önk.</oddHeader>
  </headerFooter>
  <rowBreaks count="4" manualBreakCount="4">
    <brk id="11" max="9" man="1"/>
    <brk id="20" max="16383" man="1"/>
    <brk id="47" max="16383" man="1"/>
    <brk id="59" max="9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topLeftCell="A43" zoomScaleNormal="100" zoomScaleSheetLayoutView="100" workbookViewId="0">
      <selection activeCell="F30" sqref="F30"/>
    </sheetView>
  </sheetViews>
  <sheetFormatPr defaultRowHeight="12.75" x14ac:dyDescent="0.2"/>
  <cols>
    <col min="1" max="1" width="6.85546875" customWidth="1"/>
    <col min="2" max="2" width="8.7109375" customWidth="1"/>
    <col min="3" max="3" width="56.5703125" customWidth="1"/>
    <col min="4" max="4" width="16.42578125" style="349" customWidth="1"/>
    <col min="5" max="5" width="17.42578125" style="350" customWidth="1"/>
    <col min="6" max="6" width="18.140625" customWidth="1"/>
    <col min="7" max="7" width="13.42578125" customWidth="1"/>
    <col min="8" max="8" width="19" bestFit="1" customWidth="1"/>
  </cols>
  <sheetData>
    <row r="1" spans="2:7" ht="15.75" x14ac:dyDescent="0.25">
      <c r="B1" s="917" t="s">
        <v>506</v>
      </c>
      <c r="C1" s="953"/>
      <c r="D1" s="953"/>
      <c r="E1" s="953"/>
      <c r="F1" s="953"/>
      <c r="G1" s="953"/>
    </row>
    <row r="2" spans="2:7" ht="16.5" thickBot="1" x14ac:dyDescent="0.25">
      <c r="B2" s="50" t="s">
        <v>71</v>
      </c>
      <c r="C2" s="50"/>
      <c r="D2" s="338"/>
      <c r="E2" s="339"/>
    </row>
    <row r="3" spans="2:7" ht="26.25" thickBot="1" x14ac:dyDescent="0.25">
      <c r="B3" s="57" t="s">
        <v>72</v>
      </c>
      <c r="C3" s="58" t="s">
        <v>73</v>
      </c>
      <c r="D3" s="202" t="s">
        <v>507</v>
      </c>
      <c r="E3" s="106" t="s">
        <v>508</v>
      </c>
      <c r="F3" s="59" t="s">
        <v>509</v>
      </c>
      <c r="G3" s="116"/>
    </row>
    <row r="4" spans="2:7" ht="13.5" thickBot="1" x14ac:dyDescent="0.25">
      <c r="B4" s="57">
        <v>1</v>
      </c>
      <c r="C4" s="58">
        <v>2</v>
      </c>
      <c r="D4" s="202">
        <v>3</v>
      </c>
      <c r="E4" s="106">
        <v>4</v>
      </c>
      <c r="F4" s="59">
        <v>5</v>
      </c>
    </row>
    <row r="5" spans="2:7" ht="26.25" thickBot="1" x14ac:dyDescent="0.25">
      <c r="B5" s="60" t="s">
        <v>18</v>
      </c>
      <c r="C5" s="216" t="s">
        <v>148</v>
      </c>
      <c r="D5" s="107">
        <f>D6+D13</f>
        <v>711198261</v>
      </c>
      <c r="E5" s="107">
        <f>E6+E13</f>
        <v>685350210</v>
      </c>
      <c r="F5" s="107">
        <f>F6+F12+F13</f>
        <v>740821582</v>
      </c>
    </row>
    <row r="6" spans="2:7" s="112" customFormat="1" ht="13.5" thickBot="1" x14ac:dyDescent="0.25">
      <c r="B6" s="60" t="s">
        <v>22</v>
      </c>
      <c r="C6" s="317" t="s">
        <v>153</v>
      </c>
      <c r="D6" s="396">
        <f>SUM(D7:D11)</f>
        <v>283375228</v>
      </c>
      <c r="E6" s="396">
        <f>SUM(E7:E11)</f>
        <v>259361470</v>
      </c>
      <c r="F6" s="396">
        <f>SUM(F7:F11)</f>
        <v>373130009</v>
      </c>
    </row>
    <row r="7" spans="2:7" ht="13.5" thickBot="1" x14ac:dyDescent="0.25">
      <c r="B7" s="60" t="s">
        <v>26</v>
      </c>
      <c r="C7" s="62" t="s">
        <v>267</v>
      </c>
      <c r="D7" s="393">
        <v>179789816</v>
      </c>
      <c r="E7" s="393">
        <v>177396538</v>
      </c>
      <c r="F7" s="397">
        <v>198871743</v>
      </c>
    </row>
    <row r="8" spans="2:7" ht="26.25" thickBot="1" x14ac:dyDescent="0.25">
      <c r="B8" s="60" t="s">
        <v>20</v>
      </c>
      <c r="C8" s="61" t="s">
        <v>268</v>
      </c>
      <c r="D8" s="394">
        <v>70536434</v>
      </c>
      <c r="E8" s="394">
        <v>70985134</v>
      </c>
      <c r="F8" s="398">
        <v>81546278</v>
      </c>
    </row>
    <row r="9" spans="2:7" ht="13.5" thickBot="1" x14ac:dyDescent="0.25">
      <c r="B9" s="60" t="s">
        <v>23</v>
      </c>
      <c r="C9" s="61" t="s">
        <v>269</v>
      </c>
      <c r="D9" s="394">
        <v>7275694</v>
      </c>
      <c r="E9" s="394">
        <v>9484313</v>
      </c>
      <c r="F9" s="398">
        <v>11453260</v>
      </c>
    </row>
    <row r="10" spans="2:7" ht="13.5" thickBot="1" x14ac:dyDescent="0.25">
      <c r="B10" s="60" t="s">
        <v>27</v>
      </c>
      <c r="C10" s="61" t="s">
        <v>270</v>
      </c>
      <c r="D10" s="394">
        <v>25773284</v>
      </c>
      <c r="E10" s="394">
        <v>1495485</v>
      </c>
      <c r="F10" s="398">
        <v>81258728</v>
      </c>
    </row>
    <row r="11" spans="2:7" ht="13.5" thickBot="1" x14ac:dyDescent="0.25">
      <c r="B11" s="60" t="s">
        <v>21</v>
      </c>
      <c r="C11" s="61" t="s">
        <v>286</v>
      </c>
      <c r="D11" s="394"/>
      <c r="E11" s="394"/>
      <c r="F11" s="398"/>
    </row>
    <row r="12" spans="2:7" ht="26.25" thickBot="1" x14ac:dyDescent="0.25">
      <c r="B12" s="60" t="s">
        <v>29</v>
      </c>
      <c r="C12" s="437" t="s">
        <v>368</v>
      </c>
      <c r="D12" s="438"/>
      <c r="E12" s="438"/>
      <c r="F12" s="439"/>
    </row>
    <row r="13" spans="2:7" s="112" customFormat="1" ht="26.25" thickBot="1" x14ac:dyDescent="0.25">
      <c r="B13" s="60" t="s">
        <v>24</v>
      </c>
      <c r="C13" s="318" t="s">
        <v>271</v>
      </c>
      <c r="D13" s="395">
        <v>427823033</v>
      </c>
      <c r="E13" s="395">
        <v>425988740</v>
      </c>
      <c r="F13" s="399">
        <v>367691573</v>
      </c>
    </row>
    <row r="14" spans="2:7" s="112" customFormat="1" ht="13.5" thickBot="1" x14ac:dyDescent="0.25">
      <c r="B14" s="60" t="s">
        <v>19</v>
      </c>
      <c r="C14" s="318" t="s">
        <v>324</v>
      </c>
      <c r="D14" s="395"/>
      <c r="E14" s="395"/>
      <c r="F14" s="399"/>
    </row>
    <row r="15" spans="2:7" s="112" customFormat="1" ht="13.5" thickBot="1" x14ac:dyDescent="0.25">
      <c r="B15" s="60" t="s">
        <v>25</v>
      </c>
      <c r="C15" s="318" t="s">
        <v>369</v>
      </c>
      <c r="D15" s="395"/>
      <c r="E15" s="395"/>
      <c r="F15" s="399"/>
    </row>
    <row r="16" spans="2:7" ht="26.25" thickBot="1" x14ac:dyDescent="0.25">
      <c r="B16" s="60" t="s">
        <v>42</v>
      </c>
      <c r="C16" s="406" t="s">
        <v>154</v>
      </c>
      <c r="D16" s="405">
        <f>SUM(D17:D18)</f>
        <v>671697561</v>
      </c>
      <c r="E16" s="405">
        <f>SUM(E17:E18)</f>
        <v>1626784871</v>
      </c>
      <c r="F16" s="405">
        <f>SUM(F17:F18)</f>
        <v>274060762</v>
      </c>
    </row>
    <row r="17" spans="2:6" ht="13.5" thickBot="1" x14ac:dyDescent="0.25">
      <c r="B17" s="60" t="s">
        <v>32</v>
      </c>
      <c r="C17" s="404" t="s">
        <v>272</v>
      </c>
      <c r="D17" s="348">
        <v>16999999</v>
      </c>
      <c r="E17" s="348">
        <v>60074999</v>
      </c>
      <c r="F17" s="397">
        <v>67002639</v>
      </c>
    </row>
    <row r="18" spans="2:6" ht="26.25" thickBot="1" x14ac:dyDescent="0.25">
      <c r="B18" s="60" t="s">
        <v>93</v>
      </c>
      <c r="C18" s="63" t="s">
        <v>273</v>
      </c>
      <c r="D18" s="108">
        <v>654697562</v>
      </c>
      <c r="E18" s="108">
        <v>1566709872</v>
      </c>
      <c r="F18" s="400">
        <v>207058123</v>
      </c>
    </row>
    <row r="19" spans="2:6" ht="13.5" thickBot="1" x14ac:dyDescent="0.25">
      <c r="B19" s="60" t="s">
        <v>91</v>
      </c>
      <c r="C19" s="114" t="s">
        <v>167</v>
      </c>
      <c r="D19" s="115">
        <f>D21+D22+D25+D26+D20</f>
        <v>98637447</v>
      </c>
      <c r="E19" s="115">
        <f>E21+E22+E25+E26</f>
        <v>75799224</v>
      </c>
      <c r="F19" s="115">
        <f>F21+F22+F25+F26</f>
        <v>75522000</v>
      </c>
    </row>
    <row r="20" spans="2:6" ht="13.5" thickBot="1" x14ac:dyDescent="0.25">
      <c r="B20" s="60"/>
      <c r="C20" s="582" t="s">
        <v>398</v>
      </c>
      <c r="D20" s="581"/>
      <c r="E20" s="581"/>
      <c r="F20" s="115"/>
    </row>
    <row r="21" spans="2:6" ht="13.5" thickBot="1" x14ac:dyDescent="0.25">
      <c r="B21" s="60" t="s">
        <v>95</v>
      </c>
      <c r="C21" s="641" t="s">
        <v>142</v>
      </c>
      <c r="D21" s="642">
        <v>12562748</v>
      </c>
      <c r="E21" s="642">
        <v>12227766</v>
      </c>
      <c r="F21" s="643">
        <v>12230000</v>
      </c>
    </row>
    <row r="22" spans="2:6" s="112" customFormat="1" ht="13.5" thickBot="1" x14ac:dyDescent="0.25">
      <c r="B22" s="640" t="s">
        <v>96</v>
      </c>
      <c r="C22" s="648" t="s">
        <v>274</v>
      </c>
      <c r="D22" s="649">
        <f>SUM(D23:D24)</f>
        <v>78990549</v>
      </c>
      <c r="E22" s="649">
        <f>SUM(E23:E24)</f>
        <v>60342093</v>
      </c>
      <c r="F22" s="649">
        <f>SUM(F23:F24)</f>
        <v>61000000</v>
      </c>
    </row>
    <row r="23" spans="2:6" ht="13.5" thickBot="1" x14ac:dyDescent="0.25">
      <c r="B23" s="640" t="s">
        <v>97</v>
      </c>
      <c r="C23" s="129" t="s">
        <v>275</v>
      </c>
      <c r="D23" s="647">
        <v>69403671</v>
      </c>
      <c r="E23" s="647">
        <v>60266857</v>
      </c>
      <c r="F23" s="650">
        <v>61000000</v>
      </c>
    </row>
    <row r="24" spans="2:6" ht="13.5" thickBot="1" x14ac:dyDescent="0.25">
      <c r="B24" s="640" t="s">
        <v>31</v>
      </c>
      <c r="C24" s="129" t="s">
        <v>276</v>
      </c>
      <c r="D24" s="647">
        <v>9586878</v>
      </c>
      <c r="E24" s="647">
        <v>75236</v>
      </c>
      <c r="F24" s="650"/>
    </row>
    <row r="25" spans="2:6" ht="13.5" thickBot="1" x14ac:dyDescent="0.25">
      <c r="B25" s="640" t="s">
        <v>98</v>
      </c>
      <c r="C25" s="129" t="s">
        <v>277</v>
      </c>
      <c r="D25" s="647">
        <v>7084150</v>
      </c>
      <c r="E25" s="647">
        <v>3229365</v>
      </c>
      <c r="F25" s="651">
        <v>2292000</v>
      </c>
    </row>
    <row r="26" spans="2:6" ht="13.5" thickBot="1" x14ac:dyDescent="0.25">
      <c r="B26" s="640" t="s">
        <v>99</v>
      </c>
      <c r="C26" s="129" t="s">
        <v>395</v>
      </c>
      <c r="D26" s="647"/>
      <c r="E26" s="647"/>
      <c r="F26" s="650"/>
    </row>
    <row r="27" spans="2:6" ht="13.5" thickBot="1" x14ac:dyDescent="0.25">
      <c r="B27" s="640" t="s">
        <v>100</v>
      </c>
      <c r="C27" s="652" t="s">
        <v>325</v>
      </c>
      <c r="D27" s="653"/>
      <c r="E27" s="653"/>
      <c r="F27" s="654"/>
    </row>
    <row r="28" spans="2:6" ht="13.5" thickBot="1" x14ac:dyDescent="0.25">
      <c r="B28" s="640" t="s">
        <v>115</v>
      </c>
      <c r="C28" s="644" t="s">
        <v>278</v>
      </c>
      <c r="D28" s="645">
        <v>93960590</v>
      </c>
      <c r="E28" s="645">
        <v>87093525</v>
      </c>
      <c r="F28" s="646">
        <v>103542644</v>
      </c>
    </row>
    <row r="29" spans="2:6" s="97" customFormat="1" ht="13.5" thickBot="1" x14ac:dyDescent="0.25">
      <c r="B29" s="640" t="s">
        <v>116</v>
      </c>
      <c r="C29" s="319" t="s">
        <v>168</v>
      </c>
      <c r="D29" s="320">
        <v>53514945</v>
      </c>
      <c r="E29" s="320">
        <v>41484647</v>
      </c>
      <c r="F29" s="401">
        <v>30000000</v>
      </c>
    </row>
    <row r="30" spans="2:6" s="97" customFormat="1" ht="13.5" thickBot="1" x14ac:dyDescent="0.25">
      <c r="B30" s="640" t="s">
        <v>117</v>
      </c>
      <c r="C30" s="321" t="s">
        <v>165</v>
      </c>
      <c r="D30" s="311">
        <v>13653774</v>
      </c>
      <c r="E30" s="311">
        <v>7398997</v>
      </c>
      <c r="F30" s="402">
        <v>30951155</v>
      </c>
    </row>
    <row r="31" spans="2:6" s="97" customFormat="1" ht="13.5" thickBot="1" x14ac:dyDescent="0.25">
      <c r="B31" s="640" t="s">
        <v>300</v>
      </c>
      <c r="C31" s="322" t="s">
        <v>156</v>
      </c>
      <c r="D31" s="323"/>
      <c r="E31" s="323">
        <f>E32+E33</f>
        <v>0</v>
      </c>
      <c r="F31" s="408">
        <f>F32+F33</f>
        <v>0</v>
      </c>
    </row>
    <row r="32" spans="2:6" s="248" customFormat="1" ht="26.25" thickBot="1" x14ac:dyDescent="0.25">
      <c r="B32" s="640" t="s">
        <v>301</v>
      </c>
      <c r="C32" s="313" t="s">
        <v>354</v>
      </c>
      <c r="D32" s="314"/>
      <c r="E32" s="314"/>
      <c r="F32" s="403">
        <v>0</v>
      </c>
    </row>
    <row r="33" spans="2:8" s="248" customFormat="1" ht="13.5" thickBot="1" x14ac:dyDescent="0.25">
      <c r="B33" s="640" t="s">
        <v>302</v>
      </c>
      <c r="C33" s="315" t="s">
        <v>355</v>
      </c>
      <c r="D33" s="316"/>
      <c r="E33" s="316"/>
      <c r="F33" s="316">
        <v>0</v>
      </c>
    </row>
    <row r="34" spans="2:8" ht="13.5" thickBot="1" x14ac:dyDescent="0.25">
      <c r="B34" s="956" t="s">
        <v>140</v>
      </c>
      <c r="C34" s="957"/>
      <c r="D34" s="324">
        <f>D5+D16+D19+D28+D29+D30+D31</f>
        <v>1642662578</v>
      </c>
      <c r="E34" s="324">
        <f>E5+E16+E19+E28+E29+E30+E31</f>
        <v>2523911474</v>
      </c>
      <c r="F34" s="324">
        <f>F5+F16+F19+F28+F29+F30+F31</f>
        <v>1254898143</v>
      </c>
    </row>
    <row r="35" spans="2:8" ht="13.5" thickBot="1" x14ac:dyDescent="0.25">
      <c r="B35" s="65" t="s">
        <v>303</v>
      </c>
      <c r="C35" s="65" t="s">
        <v>163</v>
      </c>
      <c r="D35" s="199">
        <f>SUM(D36:D38)</f>
        <v>1164274652</v>
      </c>
      <c r="E35" s="199">
        <f>SUM(E36:E38)</f>
        <v>889710136</v>
      </c>
      <c r="F35" s="199">
        <f>F36+F37+F38</f>
        <v>237735023</v>
      </c>
    </row>
    <row r="36" spans="2:8" ht="13.5" thickBot="1" x14ac:dyDescent="0.25">
      <c r="B36" s="65" t="s">
        <v>304</v>
      </c>
      <c r="C36" s="200" t="s">
        <v>279</v>
      </c>
      <c r="D36" s="201">
        <v>48633958</v>
      </c>
      <c r="E36" s="201">
        <v>73445443</v>
      </c>
      <c r="F36" s="316">
        <v>50000000</v>
      </c>
      <c r="H36" s="127"/>
    </row>
    <row r="37" spans="2:8" ht="24.75" customHeight="1" thickBot="1" x14ac:dyDescent="0.25">
      <c r="B37" s="65" t="s">
        <v>305</v>
      </c>
      <c r="C37" s="200" t="s">
        <v>159</v>
      </c>
      <c r="D37" s="201">
        <v>1052470843</v>
      </c>
      <c r="E37" s="201">
        <v>786991433</v>
      </c>
      <c r="F37" s="403">
        <v>176060172</v>
      </c>
      <c r="H37" s="564"/>
    </row>
    <row r="38" spans="2:8" ht="13.5" thickBot="1" x14ac:dyDescent="0.25">
      <c r="B38" s="65" t="s">
        <v>306</v>
      </c>
      <c r="C38" s="200" t="s">
        <v>327</v>
      </c>
      <c r="D38" s="201">
        <v>63169851</v>
      </c>
      <c r="E38" s="201">
        <v>29273260</v>
      </c>
      <c r="F38" s="403">
        <v>11674851</v>
      </c>
      <c r="H38" s="250"/>
    </row>
    <row r="39" spans="2:8" ht="13.5" thickBot="1" x14ac:dyDescent="0.25">
      <c r="B39" s="65" t="s">
        <v>307</v>
      </c>
      <c r="C39" s="200" t="s">
        <v>308</v>
      </c>
      <c r="D39" s="340"/>
      <c r="E39" s="201"/>
      <c r="F39" s="403"/>
    </row>
    <row r="40" spans="2:8" x14ac:dyDescent="0.2">
      <c r="B40" s="118"/>
      <c r="C40" s="117"/>
      <c r="D40" s="341"/>
      <c r="E40" s="341"/>
    </row>
    <row r="41" spans="2:8" x14ac:dyDescent="0.2">
      <c r="B41" s="955" t="s">
        <v>76</v>
      </c>
      <c r="C41" s="955"/>
      <c r="D41" s="955"/>
      <c r="E41" s="955"/>
    </row>
    <row r="42" spans="2:8" ht="13.5" thickBot="1" x14ac:dyDescent="0.25">
      <c r="B42" s="66"/>
      <c r="C42" s="66"/>
      <c r="D42" s="342"/>
      <c r="E42" s="343"/>
    </row>
    <row r="43" spans="2:8" ht="26.25" thickBot="1" x14ac:dyDescent="0.25">
      <c r="B43" s="57" t="s">
        <v>77</v>
      </c>
      <c r="C43" s="58" t="s">
        <v>78</v>
      </c>
      <c r="D43" s="202" t="s">
        <v>507</v>
      </c>
      <c r="E43" s="106" t="s">
        <v>510</v>
      </c>
      <c r="F43" s="59" t="s">
        <v>405</v>
      </c>
    </row>
    <row r="44" spans="2:8" ht="13.5" thickBot="1" x14ac:dyDescent="0.25">
      <c r="B44" s="57">
        <v>1</v>
      </c>
      <c r="C44" s="58">
        <v>2</v>
      </c>
      <c r="D44" s="202">
        <v>3</v>
      </c>
      <c r="E44" s="106">
        <v>4</v>
      </c>
      <c r="F44" s="59">
        <v>5</v>
      </c>
    </row>
    <row r="45" spans="2:8" ht="13.5" thickBot="1" x14ac:dyDescent="0.25">
      <c r="B45" s="60" t="s">
        <v>18</v>
      </c>
      <c r="C45" s="67" t="s">
        <v>280</v>
      </c>
      <c r="D45" s="107">
        <f>D46+D47</f>
        <v>365595885</v>
      </c>
      <c r="E45" s="107">
        <f>E46+E47</f>
        <v>346822788</v>
      </c>
      <c r="F45" s="107">
        <f>F46+F47</f>
        <v>435974855</v>
      </c>
      <c r="G45" s="94"/>
      <c r="H45" s="94"/>
    </row>
    <row r="46" spans="2:8" ht="13.5" thickBot="1" x14ac:dyDescent="0.25">
      <c r="B46" s="60" t="s">
        <v>22</v>
      </c>
      <c r="C46" s="64" t="s">
        <v>241</v>
      </c>
      <c r="D46" s="109">
        <v>333344019</v>
      </c>
      <c r="E46" s="109">
        <v>325040542</v>
      </c>
      <c r="F46" s="331">
        <v>407792187</v>
      </c>
      <c r="G46" s="94"/>
      <c r="H46" s="94"/>
    </row>
    <row r="47" spans="2:8" ht="13.5" thickBot="1" x14ac:dyDescent="0.25">
      <c r="B47" s="60" t="s">
        <v>26</v>
      </c>
      <c r="C47" s="68" t="s">
        <v>242</v>
      </c>
      <c r="D47" s="344">
        <v>32251866</v>
      </c>
      <c r="E47" s="344">
        <v>21782246</v>
      </c>
      <c r="F47" s="332">
        <v>28182668</v>
      </c>
      <c r="G47" s="94"/>
      <c r="H47" s="94"/>
    </row>
    <row r="48" spans="2:8" s="97" customFormat="1" ht="26.25" thickBot="1" x14ac:dyDescent="0.25">
      <c r="B48" s="60" t="s">
        <v>20</v>
      </c>
      <c r="C48" s="325" t="s">
        <v>211</v>
      </c>
      <c r="D48" s="106">
        <v>40180183</v>
      </c>
      <c r="E48" s="106">
        <v>33502293</v>
      </c>
      <c r="F48" s="333">
        <v>44183910</v>
      </c>
      <c r="G48" s="600"/>
      <c r="H48" s="600"/>
    </row>
    <row r="49" spans="1:8" s="97" customFormat="1" ht="13.5" thickBot="1" x14ac:dyDescent="0.25">
      <c r="B49" s="60" t="s">
        <v>23</v>
      </c>
      <c r="C49" s="326" t="s">
        <v>190</v>
      </c>
      <c r="D49" s="345">
        <v>401283243</v>
      </c>
      <c r="E49" s="345">
        <v>649201323</v>
      </c>
      <c r="F49" s="333">
        <v>420499413</v>
      </c>
      <c r="G49" s="600"/>
      <c r="H49" s="600"/>
    </row>
    <row r="50" spans="1:8" s="97" customFormat="1" ht="13.5" thickBot="1" x14ac:dyDescent="0.25">
      <c r="B50" s="60" t="s">
        <v>27</v>
      </c>
      <c r="C50" s="326" t="s">
        <v>281</v>
      </c>
      <c r="D50" s="106">
        <v>9507143</v>
      </c>
      <c r="E50" s="106">
        <v>8114592</v>
      </c>
      <c r="F50" s="596">
        <v>14425000</v>
      </c>
      <c r="G50" s="600"/>
      <c r="H50" s="601"/>
    </row>
    <row r="51" spans="1:8" s="97" customFormat="1" ht="13.5" thickBot="1" x14ac:dyDescent="0.25">
      <c r="B51" s="60" t="s">
        <v>21</v>
      </c>
      <c r="C51" s="327" t="s">
        <v>285</v>
      </c>
      <c r="D51" s="346">
        <v>103463523</v>
      </c>
      <c r="E51" s="346">
        <v>129740793</v>
      </c>
      <c r="F51" s="597">
        <v>114588160</v>
      </c>
      <c r="G51" s="600"/>
      <c r="H51" s="601"/>
    </row>
    <row r="52" spans="1:8" s="248" customFormat="1" ht="13.5" thickBot="1" x14ac:dyDescent="0.25">
      <c r="A52" s="113"/>
      <c r="B52" s="60" t="s">
        <v>29</v>
      </c>
      <c r="C52" s="598" t="s">
        <v>399</v>
      </c>
      <c r="D52" s="599">
        <f>SUM(D53:D54)</f>
        <v>0</v>
      </c>
      <c r="E52" s="599">
        <f t="shared" ref="E52:F52" si="0">SUM(E53:E54)</f>
        <v>0</v>
      </c>
      <c r="F52" s="599">
        <f t="shared" si="0"/>
        <v>20000000</v>
      </c>
      <c r="G52" s="602"/>
      <c r="H52" s="601"/>
    </row>
    <row r="53" spans="1:8" ht="13.5" thickBot="1" x14ac:dyDescent="0.25">
      <c r="B53" s="60" t="s">
        <v>24</v>
      </c>
      <c r="C53" s="329" t="s">
        <v>400</v>
      </c>
      <c r="D53" s="347"/>
      <c r="E53" s="347"/>
      <c r="F53" s="334">
        <v>15000000</v>
      </c>
      <c r="G53" s="94"/>
      <c r="H53" s="601"/>
    </row>
    <row r="54" spans="1:8" ht="13.5" thickBot="1" x14ac:dyDescent="0.25">
      <c r="B54" s="60" t="s">
        <v>19</v>
      </c>
      <c r="C54" s="330" t="s">
        <v>373</v>
      </c>
      <c r="D54" s="130"/>
      <c r="E54" s="130"/>
      <c r="F54" s="335">
        <v>5000000</v>
      </c>
      <c r="G54" s="94"/>
      <c r="H54" s="601"/>
    </row>
    <row r="55" spans="1:8" s="97" customFormat="1" ht="13.5" thickBot="1" x14ac:dyDescent="0.25">
      <c r="B55" s="60" t="s">
        <v>25</v>
      </c>
      <c r="C55" s="328" t="s">
        <v>282</v>
      </c>
      <c r="D55" s="312">
        <v>842300209</v>
      </c>
      <c r="E55" s="312">
        <v>1801641575</v>
      </c>
      <c r="F55" s="336">
        <v>350752695</v>
      </c>
      <c r="G55" s="600"/>
      <c r="H55" s="601"/>
    </row>
    <row r="56" spans="1:8" s="97" customFormat="1" ht="13.5" thickBot="1" x14ac:dyDescent="0.25">
      <c r="B56" s="60" t="s">
        <v>42</v>
      </c>
      <c r="C56" s="326" t="s">
        <v>283</v>
      </c>
      <c r="D56" s="106">
        <v>39441130</v>
      </c>
      <c r="E56" s="106">
        <v>38038530</v>
      </c>
      <c r="F56" s="333">
        <v>21959717</v>
      </c>
      <c r="G56" s="600"/>
      <c r="H56" s="601"/>
    </row>
    <row r="57" spans="1:8" s="97" customFormat="1" ht="13.5" thickBot="1" x14ac:dyDescent="0.25">
      <c r="B57" s="60" t="s">
        <v>32</v>
      </c>
      <c r="C57" s="326" t="s">
        <v>194</v>
      </c>
      <c r="D57" s="106">
        <v>1207165</v>
      </c>
      <c r="E57" s="106">
        <v>280320</v>
      </c>
      <c r="F57" s="333"/>
      <c r="G57" s="600"/>
      <c r="H57" s="601"/>
    </row>
    <row r="58" spans="1:8" ht="13.5" thickBot="1" x14ac:dyDescent="0.25">
      <c r="B58" s="60" t="s">
        <v>90</v>
      </c>
      <c r="C58" s="69" t="s">
        <v>202</v>
      </c>
      <c r="D58" s="105">
        <f>D59+D61</f>
        <v>0</v>
      </c>
      <c r="E58" s="105">
        <f>E59+E61</f>
        <v>0</v>
      </c>
      <c r="F58" s="105">
        <f>F59+F61</f>
        <v>70249416</v>
      </c>
      <c r="G58" s="94"/>
      <c r="H58" s="601"/>
    </row>
    <row r="59" spans="1:8" ht="13.5" thickBot="1" x14ac:dyDescent="0.25">
      <c r="B59" s="60" t="s">
        <v>91</v>
      </c>
      <c r="C59" s="62" t="s">
        <v>197</v>
      </c>
      <c r="D59" s="348"/>
      <c r="E59" s="348"/>
      <c r="F59" s="228">
        <v>51674851</v>
      </c>
      <c r="G59" s="94"/>
      <c r="H59" s="601"/>
    </row>
    <row r="60" spans="1:8" ht="13.5" thickBot="1" x14ac:dyDescent="0.25">
      <c r="B60" s="60"/>
      <c r="C60" s="775" t="s">
        <v>402</v>
      </c>
      <c r="D60" s="348"/>
      <c r="E60" s="348"/>
      <c r="F60" s="228">
        <v>11674851</v>
      </c>
      <c r="G60" s="94"/>
      <c r="H60" s="601"/>
    </row>
    <row r="61" spans="1:8" ht="13.5" thickBot="1" x14ac:dyDescent="0.25">
      <c r="B61" s="60" t="s">
        <v>92</v>
      </c>
      <c r="C61" s="61" t="s">
        <v>198</v>
      </c>
      <c r="D61" s="108"/>
      <c r="E61" s="108"/>
      <c r="F61" s="334">
        <v>18574565</v>
      </c>
      <c r="G61" s="94"/>
      <c r="H61" s="603"/>
    </row>
    <row r="62" spans="1:8" ht="13.5" thickBot="1" x14ac:dyDescent="0.25">
      <c r="B62" s="60" t="s">
        <v>95</v>
      </c>
      <c r="C62" s="774" t="s">
        <v>284</v>
      </c>
      <c r="D62" s="337">
        <f>D45+D48+D49+D50+D51+D55+D56+D57+D58</f>
        <v>1802978481</v>
      </c>
      <c r="E62" s="337">
        <f>E45+E48+E49+E50+E51+E55+E56+E57+E58</f>
        <v>3007342214</v>
      </c>
      <c r="F62" s="337">
        <f>F45+F48+F49+F50+F51+F55+F56+F57+F58+F52</f>
        <v>1492633166</v>
      </c>
      <c r="G62" s="94"/>
      <c r="H62" s="603"/>
    </row>
    <row r="63" spans="1:8" ht="14.25" customHeight="1" thickBot="1" x14ac:dyDescent="0.25">
      <c r="B63" s="951" t="s">
        <v>511</v>
      </c>
      <c r="C63" s="952"/>
      <c r="D63" s="952"/>
      <c r="E63" s="954"/>
      <c r="F63" s="333">
        <f>F62</f>
        <v>1492633166</v>
      </c>
      <c r="G63" s="94"/>
      <c r="H63" s="603"/>
    </row>
    <row r="64" spans="1:8" ht="15" customHeight="1" thickBot="1" x14ac:dyDescent="0.25">
      <c r="B64" s="951" t="s">
        <v>512</v>
      </c>
      <c r="C64" s="952"/>
      <c r="D64" s="952"/>
      <c r="E64" s="954"/>
      <c r="F64" s="333">
        <f>F34+F35</f>
        <v>1492633166</v>
      </c>
      <c r="H64" s="564"/>
    </row>
    <row r="65" spans="2:8" ht="13.5" thickBot="1" x14ac:dyDescent="0.25">
      <c r="B65" s="951" t="s">
        <v>562</v>
      </c>
      <c r="C65" s="952"/>
      <c r="D65" s="952"/>
      <c r="E65" s="952"/>
      <c r="F65" s="819">
        <f>F63-F64</f>
        <v>0</v>
      </c>
      <c r="H65" s="564"/>
    </row>
    <row r="68" spans="2:8" x14ac:dyDescent="0.2">
      <c r="F68" s="718"/>
    </row>
  </sheetData>
  <mergeCells count="6">
    <mergeCell ref="B65:E65"/>
    <mergeCell ref="B1:G1"/>
    <mergeCell ref="B63:E63"/>
    <mergeCell ref="B64:E64"/>
    <mergeCell ref="B41:E41"/>
    <mergeCell ref="B34:C34"/>
  </mergeCells>
  <phoneticPr fontId="4" type="noConversion"/>
  <pageMargins left="0.78740157480314965" right="0.78740157480314965" top="0.39370078740157483" bottom="0.39370078740157483" header="0" footer="0"/>
  <pageSetup paperSize="9" scale="70" orientation="portrait" r:id="rId1"/>
  <headerFooter alignWithMargins="0">
    <oddHeader>&amp;R7.sz. melléklet
..../2021. (II.15.) Egyek Önk.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3:Q45"/>
  <sheetViews>
    <sheetView topLeftCell="A14" zoomScale="120" zoomScaleNormal="120" workbookViewId="0">
      <selection activeCell="B14" sqref="B14"/>
    </sheetView>
  </sheetViews>
  <sheetFormatPr defaultRowHeight="12.75" x14ac:dyDescent="0.2"/>
  <cols>
    <col min="1" max="1" width="33.140625" customWidth="1"/>
    <col min="2" max="2" width="13.7109375" customWidth="1"/>
    <col min="3" max="3" width="17.7109375" bestFit="1" customWidth="1"/>
    <col min="4" max="4" width="16.7109375" bestFit="1" customWidth="1"/>
    <col min="5" max="5" width="9.5703125" bestFit="1" customWidth="1"/>
    <col min="6" max="7" width="15.5703125" bestFit="1" customWidth="1"/>
    <col min="8" max="8" width="14.28515625" customWidth="1"/>
    <col min="9" max="9" width="13.85546875" customWidth="1"/>
    <col min="11" max="11" width="15.5703125" bestFit="1" customWidth="1"/>
    <col min="12" max="12" width="11.7109375" bestFit="1" customWidth="1"/>
    <col min="13" max="14" width="9.5703125" bestFit="1" customWidth="1"/>
    <col min="15" max="15" width="11.7109375" customWidth="1"/>
    <col min="17" max="17" width="13.5703125" customWidth="1"/>
  </cols>
  <sheetData>
    <row r="3" spans="1:17" ht="18" x14ac:dyDescent="0.25">
      <c r="A3" s="958" t="s">
        <v>513</v>
      </c>
      <c r="B3" s="958"/>
      <c r="C3" s="958"/>
      <c r="D3" s="958"/>
      <c r="E3" s="958"/>
      <c r="F3" s="958"/>
      <c r="G3" s="958"/>
      <c r="H3" s="958"/>
      <c r="I3" s="958"/>
      <c r="J3" s="958"/>
      <c r="K3" s="958"/>
      <c r="L3" s="958"/>
      <c r="M3" s="958"/>
      <c r="N3" s="958"/>
      <c r="O3" s="958"/>
    </row>
    <row r="4" spans="1:17" ht="18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7" ht="18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7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7" x14ac:dyDescent="0.2">
      <c r="A7" s="44" t="s">
        <v>16</v>
      </c>
      <c r="B7" s="45" t="s">
        <v>54</v>
      </c>
      <c r="C7" s="45" t="s">
        <v>55</v>
      </c>
      <c r="D7" s="45" t="s">
        <v>56</v>
      </c>
      <c r="E7" s="45" t="s">
        <v>57</v>
      </c>
      <c r="F7" s="45" t="s">
        <v>58</v>
      </c>
      <c r="G7" s="45" t="s">
        <v>59</v>
      </c>
      <c r="H7" s="45" t="s">
        <v>60</v>
      </c>
      <c r="I7" s="45" t="s">
        <v>61</v>
      </c>
      <c r="J7" s="45" t="s">
        <v>62</v>
      </c>
      <c r="K7" s="45" t="s">
        <v>63</v>
      </c>
      <c r="L7" s="45" t="s">
        <v>64</v>
      </c>
      <c r="M7" s="45" t="s">
        <v>65</v>
      </c>
      <c r="N7" s="45" t="s">
        <v>66</v>
      </c>
      <c r="O7" s="45" t="s">
        <v>41</v>
      </c>
    </row>
    <row r="8" spans="1:17" x14ac:dyDescent="0.2">
      <c r="A8" s="46" t="s">
        <v>67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>
        <f t="shared" ref="O8:O16" si="0">SUM(C8:N8)</f>
        <v>0</v>
      </c>
    </row>
    <row r="9" spans="1:17" ht="35.25" customHeight="1" x14ac:dyDescent="0.2">
      <c r="A9" s="124" t="s">
        <v>148</v>
      </c>
      <c r="B9" s="47">
        <v>740821582</v>
      </c>
      <c r="C9" s="47">
        <v>54046900</v>
      </c>
      <c r="D9" s="47">
        <v>54046900</v>
      </c>
      <c r="E9" s="47">
        <v>54046900</v>
      </c>
      <c r="F9" s="47">
        <v>54046900</v>
      </c>
      <c r="G9" s="47">
        <f>54046900+41258728+11000000</f>
        <v>106305628</v>
      </c>
      <c r="H9" s="47">
        <v>54046900</v>
      </c>
      <c r="I9" s="47">
        <v>54046900</v>
      </c>
      <c r="J9" s="47">
        <v>54046900</v>
      </c>
      <c r="K9" s="47">
        <v>54046900</v>
      </c>
      <c r="L9" s="47">
        <v>54046900</v>
      </c>
      <c r="M9" s="47">
        <f>54046900+40000000</f>
        <v>94046900</v>
      </c>
      <c r="N9" s="47">
        <v>54046954</v>
      </c>
      <c r="O9" s="47">
        <f>SUM(C9:N9)</f>
        <v>740821582</v>
      </c>
      <c r="Q9" s="2"/>
    </row>
    <row r="10" spans="1:17" ht="29.25" customHeight="1" x14ac:dyDescent="0.2">
      <c r="A10" s="124" t="s">
        <v>154</v>
      </c>
      <c r="B10" s="47">
        <v>274060762</v>
      </c>
      <c r="C10" s="47">
        <v>22838400</v>
      </c>
      <c r="D10" s="47">
        <v>22838400</v>
      </c>
      <c r="E10" s="47">
        <v>22838400</v>
      </c>
      <c r="F10" s="47">
        <v>22838400</v>
      </c>
      <c r="G10" s="47">
        <v>22838400</v>
      </c>
      <c r="H10" s="47">
        <v>22838400</v>
      </c>
      <c r="I10" s="47">
        <v>22838400</v>
      </c>
      <c r="J10" s="47">
        <v>22838400</v>
      </c>
      <c r="K10" s="47">
        <v>22838400</v>
      </c>
      <c r="L10" s="47">
        <v>22838400</v>
      </c>
      <c r="M10" s="47">
        <v>22838400</v>
      </c>
      <c r="N10" s="47">
        <v>22838362</v>
      </c>
      <c r="O10" s="47">
        <f t="shared" si="0"/>
        <v>274060762</v>
      </c>
      <c r="Q10" s="2"/>
    </row>
    <row r="11" spans="1:17" ht="48" customHeight="1" x14ac:dyDescent="0.2">
      <c r="A11" s="124" t="s">
        <v>167</v>
      </c>
      <c r="B11" s="47">
        <v>75522000</v>
      </c>
      <c r="C11" s="47">
        <v>500000</v>
      </c>
      <c r="D11" s="47">
        <v>600000</v>
      </c>
      <c r="E11" s="47">
        <v>35736000</v>
      </c>
      <c r="F11" s="47">
        <v>350000</v>
      </c>
      <c r="G11" s="47">
        <v>350000</v>
      </c>
      <c r="H11" s="47">
        <v>350000</v>
      </c>
      <c r="I11" s="47">
        <v>350000</v>
      </c>
      <c r="J11" s="47">
        <v>350000</v>
      </c>
      <c r="K11" s="47">
        <v>35736000</v>
      </c>
      <c r="L11" s="47">
        <v>500000</v>
      </c>
      <c r="M11" s="47">
        <v>400000</v>
      </c>
      <c r="N11" s="47">
        <v>300000</v>
      </c>
      <c r="O11" s="47">
        <f t="shared" si="0"/>
        <v>75522000</v>
      </c>
      <c r="Q11" s="2"/>
    </row>
    <row r="12" spans="1:17" x14ac:dyDescent="0.2">
      <c r="A12" s="46" t="s">
        <v>146</v>
      </c>
      <c r="B12" s="47">
        <v>103542644</v>
      </c>
      <c r="C12" s="47">
        <f t="shared" ref="C12:M12" si="1">103542644/12</f>
        <v>8628553.666666666</v>
      </c>
      <c r="D12" s="47">
        <f t="shared" si="1"/>
        <v>8628553.666666666</v>
      </c>
      <c r="E12" s="47">
        <f t="shared" si="1"/>
        <v>8628553.666666666</v>
      </c>
      <c r="F12" s="47">
        <f t="shared" si="1"/>
        <v>8628553.666666666</v>
      </c>
      <c r="G12" s="47">
        <f t="shared" si="1"/>
        <v>8628553.666666666</v>
      </c>
      <c r="H12" s="47">
        <f t="shared" si="1"/>
        <v>8628553.666666666</v>
      </c>
      <c r="I12" s="47">
        <f t="shared" si="1"/>
        <v>8628553.666666666</v>
      </c>
      <c r="J12" s="47">
        <f t="shared" si="1"/>
        <v>8628553.666666666</v>
      </c>
      <c r="K12" s="47">
        <f t="shared" si="1"/>
        <v>8628553.666666666</v>
      </c>
      <c r="L12" s="47">
        <f t="shared" si="1"/>
        <v>8628553.666666666</v>
      </c>
      <c r="M12" s="47">
        <f t="shared" si="1"/>
        <v>8628553.666666666</v>
      </c>
      <c r="N12" s="47">
        <v>8628554</v>
      </c>
      <c r="O12" s="47">
        <f t="shared" si="0"/>
        <v>103542644.33333334</v>
      </c>
      <c r="Q12" s="2"/>
    </row>
    <row r="13" spans="1:17" x14ac:dyDescent="0.2">
      <c r="A13" s="46" t="s">
        <v>168</v>
      </c>
      <c r="B13" s="47">
        <v>30000000</v>
      </c>
      <c r="C13" s="47"/>
      <c r="D13" s="47"/>
      <c r="E13" s="47">
        <v>5000000</v>
      </c>
      <c r="F13" s="47"/>
      <c r="G13" s="47">
        <v>1000000</v>
      </c>
      <c r="H13" s="47">
        <v>750000</v>
      </c>
      <c r="I13" s="47">
        <v>1250000</v>
      </c>
      <c r="J13" s="47"/>
      <c r="K13" s="47">
        <v>20000000</v>
      </c>
      <c r="L13" s="47">
        <v>2000000</v>
      </c>
      <c r="M13" s="47"/>
      <c r="N13" s="47"/>
      <c r="O13" s="47">
        <f t="shared" si="0"/>
        <v>30000000</v>
      </c>
      <c r="Q13" s="2"/>
    </row>
    <row r="14" spans="1:17" ht="40.5" customHeight="1" x14ac:dyDescent="0.2">
      <c r="A14" s="124" t="s">
        <v>165</v>
      </c>
      <c r="B14" s="47">
        <v>30951155</v>
      </c>
      <c r="C14" s="47"/>
      <c r="D14" s="47"/>
      <c r="E14" s="47">
        <v>22000000</v>
      </c>
      <c r="F14" s="47"/>
      <c r="G14" s="47"/>
      <c r="H14" s="47"/>
      <c r="I14" s="47"/>
      <c r="J14" s="47"/>
      <c r="K14" s="47"/>
      <c r="L14" s="47">
        <v>8951155</v>
      </c>
      <c r="M14" s="47"/>
      <c r="N14" s="47"/>
      <c r="O14" s="47">
        <f t="shared" si="0"/>
        <v>30951155</v>
      </c>
      <c r="P14" s="136"/>
      <c r="Q14" s="2"/>
    </row>
    <row r="15" spans="1:17" ht="56.25" customHeight="1" x14ac:dyDescent="0.2">
      <c r="A15" s="124" t="s">
        <v>156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>
        <f t="shared" si="0"/>
        <v>0</v>
      </c>
      <c r="Q15" s="2"/>
    </row>
    <row r="16" spans="1:17" ht="20.25" customHeight="1" x14ac:dyDescent="0.2">
      <c r="A16" s="124" t="s">
        <v>163</v>
      </c>
      <c r="B16" s="47">
        <v>237735023</v>
      </c>
      <c r="C16" s="47">
        <f>1737000+11674851</f>
        <v>13411851</v>
      </c>
      <c r="D16" s="47">
        <v>60941372</v>
      </c>
      <c r="E16" s="47">
        <v>38192347</v>
      </c>
      <c r="F16" s="47">
        <v>2431298</v>
      </c>
      <c r="G16" s="47">
        <v>2072000</v>
      </c>
      <c r="H16" s="47">
        <v>44077540</v>
      </c>
      <c r="I16" s="47">
        <f>28345615-1737000</f>
        <v>26608615</v>
      </c>
      <c r="J16" s="47">
        <f>40000000/5</f>
        <v>8000000</v>
      </c>
      <c r="K16" s="47">
        <v>18000000</v>
      </c>
      <c r="L16" s="47">
        <f>40000000/5</f>
        <v>8000000</v>
      </c>
      <c r="M16" s="47">
        <f>40000000/5</f>
        <v>8000000</v>
      </c>
      <c r="N16" s="47">
        <f>40000000/5</f>
        <v>8000000</v>
      </c>
      <c r="O16" s="47">
        <f t="shared" si="0"/>
        <v>237735023</v>
      </c>
      <c r="P16" s="136"/>
      <c r="Q16" s="2"/>
    </row>
    <row r="17" spans="1:17" x14ac:dyDescent="0.2">
      <c r="A17" s="55" t="s">
        <v>68</v>
      </c>
      <c r="B17" s="56">
        <f t="shared" ref="B17:N17" si="2">SUM(B9:B16)</f>
        <v>1492633166</v>
      </c>
      <c r="C17" s="56">
        <f t="shared" si="2"/>
        <v>99425704.666666672</v>
      </c>
      <c r="D17" s="56">
        <f t="shared" si="2"/>
        <v>147055225.66666669</v>
      </c>
      <c r="E17" s="56">
        <f t="shared" si="2"/>
        <v>186442200.66666669</v>
      </c>
      <c r="F17" s="56">
        <f t="shared" si="2"/>
        <v>88295151.666666672</v>
      </c>
      <c r="G17" s="56">
        <f t="shared" si="2"/>
        <v>141194581.66666666</v>
      </c>
      <c r="H17" s="56">
        <f t="shared" si="2"/>
        <v>130691393.66666667</v>
      </c>
      <c r="I17" s="56">
        <f t="shared" si="2"/>
        <v>113722468.66666667</v>
      </c>
      <c r="J17" s="56">
        <f t="shared" si="2"/>
        <v>93863853.666666672</v>
      </c>
      <c r="K17" s="56">
        <f t="shared" si="2"/>
        <v>159249853.66666669</v>
      </c>
      <c r="L17" s="56">
        <f t="shared" si="2"/>
        <v>104965008.66666667</v>
      </c>
      <c r="M17" s="56">
        <f t="shared" si="2"/>
        <v>133913853.66666667</v>
      </c>
      <c r="N17" s="56">
        <f t="shared" si="2"/>
        <v>93813870</v>
      </c>
      <c r="O17" s="56">
        <f>SUM(O9:O16)</f>
        <v>1492633166.3333333</v>
      </c>
      <c r="Q17" s="2"/>
    </row>
    <row r="18" spans="1:17" x14ac:dyDescent="0.2">
      <c r="A18" s="48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Q18" s="2"/>
    </row>
    <row r="19" spans="1:17" x14ac:dyDescent="0.2">
      <c r="A19" s="48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Q19" s="2"/>
    </row>
    <row r="20" spans="1:17" x14ac:dyDescent="0.2">
      <c r="A20" s="44" t="s">
        <v>16</v>
      </c>
      <c r="B20" s="45" t="s">
        <v>54</v>
      </c>
      <c r="C20" s="45" t="s">
        <v>55</v>
      </c>
      <c r="D20" s="45" t="s">
        <v>56</v>
      </c>
      <c r="E20" s="45" t="s">
        <v>57</v>
      </c>
      <c r="F20" s="45" t="s">
        <v>58</v>
      </c>
      <c r="G20" s="45" t="s">
        <v>59</v>
      </c>
      <c r="H20" s="45" t="s">
        <v>60</v>
      </c>
      <c r="I20" s="45" t="s">
        <v>61</v>
      </c>
      <c r="J20" s="45" t="s">
        <v>62</v>
      </c>
      <c r="K20" s="45" t="s">
        <v>63</v>
      </c>
      <c r="L20" s="45" t="s">
        <v>64</v>
      </c>
      <c r="M20" s="45" t="s">
        <v>65</v>
      </c>
      <c r="N20" s="45" t="s">
        <v>66</v>
      </c>
      <c r="O20" s="45" t="s">
        <v>41</v>
      </c>
      <c r="Q20" s="2"/>
    </row>
    <row r="21" spans="1:17" x14ac:dyDescent="0.2">
      <c r="A21" s="46" t="s">
        <v>69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Q21" s="2"/>
    </row>
    <row r="22" spans="1:17" x14ac:dyDescent="0.2">
      <c r="A22" s="46" t="s">
        <v>188</v>
      </c>
      <c r="B22" s="47">
        <v>435974855</v>
      </c>
      <c r="C22" s="47">
        <f t="shared" ref="C22:M22" si="3">435974855/12</f>
        <v>36331237.916666664</v>
      </c>
      <c r="D22" s="47">
        <f t="shared" si="3"/>
        <v>36331237.916666664</v>
      </c>
      <c r="E22" s="47">
        <f t="shared" si="3"/>
        <v>36331237.916666664</v>
      </c>
      <c r="F22" s="47">
        <f t="shared" si="3"/>
        <v>36331237.916666664</v>
      </c>
      <c r="G22" s="47">
        <f t="shared" si="3"/>
        <v>36331237.916666664</v>
      </c>
      <c r="H22" s="47">
        <f t="shared" si="3"/>
        <v>36331237.916666664</v>
      </c>
      <c r="I22" s="47">
        <f t="shared" si="3"/>
        <v>36331237.916666664</v>
      </c>
      <c r="J22" s="47">
        <f t="shared" si="3"/>
        <v>36331237.916666664</v>
      </c>
      <c r="K22" s="47">
        <f t="shared" si="3"/>
        <v>36331237.916666664</v>
      </c>
      <c r="L22" s="47">
        <f t="shared" si="3"/>
        <v>36331237.916666664</v>
      </c>
      <c r="M22" s="47">
        <f t="shared" si="3"/>
        <v>36331237.916666664</v>
      </c>
      <c r="N22" s="47">
        <v>36331238</v>
      </c>
      <c r="O22" s="47">
        <f t="shared" ref="O22:O32" si="4">SUM(C22:N22)</f>
        <v>435974855.08333337</v>
      </c>
      <c r="Q22" s="2"/>
    </row>
    <row r="23" spans="1:17" ht="30.75" customHeight="1" x14ac:dyDescent="0.2">
      <c r="A23" s="124" t="s">
        <v>211</v>
      </c>
      <c r="B23" s="47">
        <v>44183910</v>
      </c>
      <c r="C23" s="47">
        <v>3681993</v>
      </c>
      <c r="D23" s="47">
        <v>3681993</v>
      </c>
      <c r="E23" s="47">
        <v>3681993</v>
      </c>
      <c r="F23" s="47">
        <v>3681993</v>
      </c>
      <c r="G23" s="47">
        <v>3681993</v>
      </c>
      <c r="H23" s="47">
        <v>3681993</v>
      </c>
      <c r="I23" s="47">
        <v>3681993</v>
      </c>
      <c r="J23" s="47">
        <v>3681993</v>
      </c>
      <c r="K23" s="47">
        <v>3681993</v>
      </c>
      <c r="L23" s="47">
        <v>3681993</v>
      </c>
      <c r="M23" s="47">
        <v>3681993</v>
      </c>
      <c r="N23" s="47">
        <v>3681987</v>
      </c>
      <c r="O23" s="47">
        <f t="shared" si="4"/>
        <v>44183910</v>
      </c>
      <c r="Q23" s="2"/>
    </row>
    <row r="24" spans="1:17" x14ac:dyDescent="0.2">
      <c r="A24" s="46" t="s">
        <v>190</v>
      </c>
      <c r="B24" s="93">
        <v>420499413</v>
      </c>
      <c r="C24" s="47">
        <v>35041618</v>
      </c>
      <c r="D24" s="47">
        <v>35041618</v>
      </c>
      <c r="E24" s="47">
        <v>35041618</v>
      </c>
      <c r="F24" s="47">
        <v>35041618</v>
      </c>
      <c r="G24" s="47">
        <v>35041618</v>
      </c>
      <c r="H24" s="47">
        <v>35041618</v>
      </c>
      <c r="I24" s="47">
        <v>35041618</v>
      </c>
      <c r="J24" s="47">
        <v>35041618</v>
      </c>
      <c r="K24" s="47">
        <v>35041618</v>
      </c>
      <c r="L24" s="47">
        <v>35041618</v>
      </c>
      <c r="M24" s="47">
        <v>35041618</v>
      </c>
      <c r="N24" s="47">
        <v>35041615</v>
      </c>
      <c r="O24" s="47">
        <f>SUM(C24:N24)</f>
        <v>420499413</v>
      </c>
      <c r="Q24" s="2"/>
    </row>
    <row r="25" spans="1:17" ht="18" customHeight="1" x14ac:dyDescent="0.2">
      <c r="A25" s="46" t="s">
        <v>191</v>
      </c>
      <c r="B25" s="47">
        <v>14425000</v>
      </c>
      <c r="C25" s="47">
        <v>1202080</v>
      </c>
      <c r="D25" s="47">
        <v>1202080</v>
      </c>
      <c r="E25" s="47">
        <v>1202080</v>
      </c>
      <c r="F25" s="47">
        <v>1202080</v>
      </c>
      <c r="G25" s="47">
        <v>1202080</v>
      </c>
      <c r="H25" s="47">
        <v>1202080</v>
      </c>
      <c r="I25" s="47">
        <v>1202080</v>
      </c>
      <c r="J25" s="47">
        <v>1202080</v>
      </c>
      <c r="K25" s="47">
        <v>1202080</v>
      </c>
      <c r="L25" s="47">
        <v>1202080</v>
      </c>
      <c r="M25" s="47">
        <v>1202080</v>
      </c>
      <c r="N25" s="47">
        <v>1202120</v>
      </c>
      <c r="O25" s="47">
        <f>SUM(C25:N25)</f>
        <v>14425000</v>
      </c>
      <c r="Q25" s="2"/>
    </row>
    <row r="26" spans="1:17" ht="22.5" x14ac:dyDescent="0.2">
      <c r="A26" s="124" t="s">
        <v>212</v>
      </c>
      <c r="B26" s="47">
        <v>114588160</v>
      </c>
      <c r="C26" s="47">
        <v>9549000</v>
      </c>
      <c r="D26" s="47">
        <v>9549000</v>
      </c>
      <c r="E26" s="47">
        <v>9549000</v>
      </c>
      <c r="F26" s="47">
        <v>9549000</v>
      </c>
      <c r="G26" s="47">
        <v>9549000</v>
      </c>
      <c r="H26" s="47">
        <v>9549000</v>
      </c>
      <c r="I26" s="47">
        <v>9549000</v>
      </c>
      <c r="J26" s="47">
        <v>9549000</v>
      </c>
      <c r="K26" s="47">
        <v>9549000</v>
      </c>
      <c r="L26" s="47">
        <v>9549000</v>
      </c>
      <c r="M26" s="47">
        <v>9549000</v>
      </c>
      <c r="N26" s="47">
        <v>9549160</v>
      </c>
      <c r="O26" s="47">
        <f t="shared" si="4"/>
        <v>114588160</v>
      </c>
      <c r="Q26" s="2"/>
    </row>
    <row r="27" spans="1:17" s="94" customFormat="1" x14ac:dyDescent="0.2">
      <c r="A27" s="92" t="s">
        <v>213</v>
      </c>
      <c r="B27" s="93">
        <v>20000000</v>
      </c>
      <c r="C27" s="47"/>
      <c r="D27" s="47"/>
      <c r="E27" s="47">
        <v>2000000</v>
      </c>
      <c r="F27" s="47"/>
      <c r="G27" s="47">
        <v>4000000</v>
      </c>
      <c r="H27" s="47"/>
      <c r="I27" s="47">
        <v>1500000</v>
      </c>
      <c r="J27" s="47">
        <v>750000</v>
      </c>
      <c r="K27" s="47">
        <v>7500000</v>
      </c>
      <c r="L27" s="47">
        <v>850000</v>
      </c>
      <c r="M27" s="47">
        <v>3000000</v>
      </c>
      <c r="N27" s="47">
        <v>400000</v>
      </c>
      <c r="O27" s="93">
        <f>SUM(C27:N27)</f>
        <v>20000000</v>
      </c>
      <c r="Q27" s="2"/>
    </row>
    <row r="28" spans="1:17" x14ac:dyDescent="0.2">
      <c r="A28" s="46" t="s">
        <v>192</v>
      </c>
      <c r="B28" s="47">
        <v>350752695</v>
      </c>
      <c r="C28" s="47">
        <f>2356548</f>
        <v>2356548</v>
      </c>
      <c r="D28" s="47">
        <f>59268569+4638759+958900</f>
        <v>64866228</v>
      </c>
      <c r="E28" s="47">
        <v>94035364</v>
      </c>
      <c r="F28" s="47">
        <f>254000+14350978+3874764+32528023+8782566+6000000</f>
        <v>65790331</v>
      </c>
      <c r="G28" s="47">
        <f>6983446+2550000+2765000</f>
        <v>12298446</v>
      </c>
      <c r="H28" s="47">
        <f>18576749+5015721+1145326</f>
        <v>24737796</v>
      </c>
      <c r="I28" s="47">
        <f>4666010+1138320</f>
        <v>5804330</v>
      </c>
      <c r="J28" s="47">
        <f>57941879+15644307</f>
        <v>73586186</v>
      </c>
      <c r="K28" s="47">
        <f>2525550+2022000</f>
        <v>4547550</v>
      </c>
      <c r="L28" s="47">
        <v>2729916</v>
      </c>
      <c r="M28" s="47"/>
      <c r="N28" s="47"/>
      <c r="O28" s="47">
        <f>SUM(C28:N28)</f>
        <v>350752695</v>
      </c>
      <c r="Q28" s="2"/>
    </row>
    <row r="29" spans="1:17" ht="36.75" customHeight="1" x14ac:dyDescent="0.2">
      <c r="A29" s="124" t="s">
        <v>193</v>
      </c>
      <c r="B29" s="47">
        <v>21959717</v>
      </c>
      <c r="C29" s="822">
        <v>5350257</v>
      </c>
      <c r="D29" s="47"/>
      <c r="E29" s="47"/>
      <c r="H29" s="47"/>
      <c r="I29" s="47">
        <v>1010000</v>
      </c>
      <c r="J29" s="47">
        <v>3590464</v>
      </c>
      <c r="K29" s="821">
        <v>7638004</v>
      </c>
      <c r="L29" s="47">
        <f>1473222+397770</f>
        <v>1870992</v>
      </c>
      <c r="M29" s="47">
        <v>2500000</v>
      </c>
      <c r="N29" s="47"/>
      <c r="O29" s="47">
        <f t="shared" si="4"/>
        <v>21959717</v>
      </c>
      <c r="Q29" s="2"/>
    </row>
    <row r="30" spans="1:17" x14ac:dyDescent="0.2">
      <c r="A30" s="46" t="s">
        <v>194</v>
      </c>
      <c r="B30" s="93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>
        <f t="shared" si="4"/>
        <v>0</v>
      </c>
      <c r="Q30" s="2"/>
    </row>
    <row r="31" spans="1:17" x14ac:dyDescent="0.2">
      <c r="A31" s="46" t="s">
        <v>296</v>
      </c>
      <c r="B31" s="821">
        <v>51674851</v>
      </c>
      <c r="C31" s="47">
        <v>11674851</v>
      </c>
      <c r="D31" s="47">
        <v>3636364</v>
      </c>
      <c r="E31" s="47">
        <v>3636364</v>
      </c>
      <c r="F31" s="47">
        <v>3636364</v>
      </c>
      <c r="G31" s="47">
        <v>3636364</v>
      </c>
      <c r="H31" s="47">
        <v>3636364</v>
      </c>
      <c r="I31" s="47">
        <v>3636364</v>
      </c>
      <c r="J31" s="47">
        <v>3636364</v>
      </c>
      <c r="K31" s="47">
        <v>3636364</v>
      </c>
      <c r="L31" s="47">
        <v>3636364</v>
      </c>
      <c r="M31" s="47">
        <v>3636364</v>
      </c>
      <c r="N31" s="47">
        <v>3636360</v>
      </c>
      <c r="O31" s="47">
        <f t="shared" si="4"/>
        <v>51674851</v>
      </c>
      <c r="Q31" s="2"/>
    </row>
    <row r="32" spans="1:17" x14ac:dyDescent="0.2">
      <c r="A32" s="46" t="s">
        <v>297</v>
      </c>
      <c r="B32" s="93">
        <v>18574565</v>
      </c>
      <c r="C32" s="47"/>
      <c r="D32" s="47"/>
      <c r="E32" s="47">
        <v>9287283</v>
      </c>
      <c r="F32" s="47"/>
      <c r="G32" s="47"/>
      <c r="H32" s="47"/>
      <c r="I32" s="47"/>
      <c r="J32" s="47"/>
      <c r="K32" s="47">
        <v>9287282</v>
      </c>
      <c r="L32" s="47"/>
      <c r="M32" s="47"/>
      <c r="N32" s="47"/>
      <c r="O32" s="47">
        <f t="shared" si="4"/>
        <v>18574565</v>
      </c>
      <c r="Q32" s="2"/>
    </row>
    <row r="33" spans="1:17" x14ac:dyDescent="0.2">
      <c r="A33" s="55" t="s">
        <v>70</v>
      </c>
      <c r="B33" s="56">
        <f>SUM(B22:B32)</f>
        <v>1492633166</v>
      </c>
      <c r="C33" s="56">
        <f t="shared" ref="C33:N33" si="5">SUM(C22:C32)</f>
        <v>105187584.91666666</v>
      </c>
      <c r="D33" s="56">
        <f t="shared" si="5"/>
        <v>154308520.91666666</v>
      </c>
      <c r="E33" s="56">
        <f t="shared" si="5"/>
        <v>194764939.91666666</v>
      </c>
      <c r="F33" s="56">
        <f t="shared" si="5"/>
        <v>155232623.91666666</v>
      </c>
      <c r="G33" s="56">
        <f t="shared" si="5"/>
        <v>105740738.91666666</v>
      </c>
      <c r="H33" s="56">
        <f t="shared" si="5"/>
        <v>114180088.91666666</v>
      </c>
      <c r="I33" s="56">
        <f t="shared" si="5"/>
        <v>97756622.916666657</v>
      </c>
      <c r="J33" s="56">
        <f t="shared" si="5"/>
        <v>167368942.91666666</v>
      </c>
      <c r="K33" s="56">
        <f t="shared" si="5"/>
        <v>118415128.91666666</v>
      </c>
      <c r="L33" s="56">
        <f t="shared" si="5"/>
        <v>94893200.916666657</v>
      </c>
      <c r="M33" s="56">
        <f t="shared" si="5"/>
        <v>94942292.916666657</v>
      </c>
      <c r="N33" s="56">
        <f t="shared" si="5"/>
        <v>89842480</v>
      </c>
      <c r="O33" s="56">
        <f>SUM(O22:O32)</f>
        <v>1492633166.0833335</v>
      </c>
      <c r="Q33" s="2"/>
    </row>
    <row r="35" spans="1:17" x14ac:dyDescent="0.2">
      <c r="B35" s="564"/>
      <c r="F35" s="564"/>
    </row>
    <row r="36" spans="1:17" x14ac:dyDescent="0.2">
      <c r="B36" s="2"/>
      <c r="F36" s="564"/>
    </row>
    <row r="37" spans="1:17" x14ac:dyDescent="0.2">
      <c r="B37" s="127"/>
      <c r="C37" s="564"/>
      <c r="D37" s="564"/>
      <c r="F37" s="564"/>
      <c r="G37" s="564"/>
      <c r="H37" s="127"/>
      <c r="I37" s="564"/>
      <c r="K37" s="564"/>
      <c r="L37" s="2"/>
    </row>
    <row r="38" spans="1:17" x14ac:dyDescent="0.2">
      <c r="D38" s="564"/>
      <c r="F38" s="564"/>
      <c r="G38" s="564"/>
      <c r="H38" s="127"/>
      <c r="I38" s="564"/>
      <c r="K38" s="564"/>
    </row>
    <row r="39" spans="1:17" x14ac:dyDescent="0.2">
      <c r="D39" s="564"/>
      <c r="F39" s="564"/>
      <c r="G39" s="564"/>
      <c r="H39" s="127"/>
      <c r="I39" s="564"/>
      <c r="K39" s="564"/>
    </row>
    <row r="40" spans="1:17" x14ac:dyDescent="0.2">
      <c r="D40" s="564"/>
      <c r="F40" s="564"/>
      <c r="G40" s="564"/>
      <c r="H40" s="127"/>
      <c r="I40" s="564"/>
      <c r="K40" s="564"/>
    </row>
    <row r="41" spans="1:17" x14ac:dyDescent="0.2">
      <c r="D41" s="564"/>
      <c r="F41" s="564"/>
      <c r="G41" s="564"/>
      <c r="H41" s="127"/>
      <c r="I41" s="564"/>
    </row>
    <row r="42" spans="1:17" x14ac:dyDescent="0.2">
      <c r="D42" s="564"/>
      <c r="F42" s="564"/>
      <c r="G42" s="564"/>
      <c r="H42" s="127"/>
      <c r="I42" s="564"/>
    </row>
    <row r="43" spans="1:17" x14ac:dyDescent="0.2">
      <c r="D43" s="564"/>
      <c r="F43" s="127"/>
      <c r="G43" s="564"/>
      <c r="H43" s="127"/>
      <c r="I43" s="564"/>
    </row>
    <row r="44" spans="1:17" x14ac:dyDescent="0.2">
      <c r="D44" s="564"/>
    </row>
    <row r="45" spans="1:17" x14ac:dyDescent="0.2">
      <c r="H45" s="127"/>
    </row>
  </sheetData>
  <mergeCells count="1">
    <mergeCell ref="A3:O3"/>
  </mergeCells>
  <phoneticPr fontId="4" type="noConversion"/>
  <pageMargins left="0.75" right="0.75" top="1" bottom="1" header="0.5" footer="0.5"/>
  <pageSetup paperSize="9" scale="61" orientation="landscape" r:id="rId1"/>
  <headerFooter alignWithMargins="0">
    <oddHeader>&amp;R8 sz. melléklet
.../2021.(II.15.) Egyek Önk.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topLeftCell="A19" zoomScale="120" zoomScaleNormal="120" workbookViewId="0">
      <selection activeCell="C31" sqref="C31:E31"/>
    </sheetView>
  </sheetViews>
  <sheetFormatPr defaultRowHeight="12.75" x14ac:dyDescent="0.2"/>
  <cols>
    <col min="2" max="2" width="10.140625" customWidth="1"/>
    <col min="3" max="3" width="35.42578125" customWidth="1"/>
    <col min="4" max="4" width="17.7109375" customWidth="1"/>
    <col min="5" max="5" width="16.42578125" customWidth="1"/>
  </cols>
  <sheetData>
    <row r="2" spans="2:5" x14ac:dyDescent="0.2">
      <c r="C2" s="959" t="s">
        <v>514</v>
      </c>
      <c r="D2" s="959"/>
      <c r="E2" s="959"/>
    </row>
    <row r="3" spans="2:5" ht="14.25" x14ac:dyDescent="0.2">
      <c r="C3" s="960" t="s">
        <v>15</v>
      </c>
      <c r="D3" s="960"/>
      <c r="E3" s="54"/>
    </row>
    <row r="4" spans="2:5" ht="15.75" thickBot="1" x14ac:dyDescent="0.25">
      <c r="B4" s="51"/>
      <c r="C4" s="961"/>
      <c r="D4" s="961"/>
      <c r="E4" s="52" t="s">
        <v>104</v>
      </c>
    </row>
    <row r="5" spans="2:5" ht="39" thickBot="1" x14ac:dyDescent="0.25">
      <c r="B5" s="70" t="s">
        <v>77</v>
      </c>
      <c r="C5" s="71" t="s">
        <v>73</v>
      </c>
      <c r="D5" s="71" t="s">
        <v>0</v>
      </c>
      <c r="E5" s="72" t="s">
        <v>1</v>
      </c>
    </row>
    <row r="6" spans="2:5" ht="13.5" thickBot="1" x14ac:dyDescent="0.25">
      <c r="B6" s="73">
        <v>1</v>
      </c>
      <c r="C6" s="74">
        <v>2</v>
      </c>
      <c r="D6" s="74">
        <v>3</v>
      </c>
      <c r="E6" s="360">
        <v>4</v>
      </c>
    </row>
    <row r="7" spans="2:5" x14ac:dyDescent="0.2">
      <c r="B7" s="75" t="s">
        <v>18</v>
      </c>
      <c r="C7" s="76" t="s">
        <v>2</v>
      </c>
      <c r="D7" s="77"/>
      <c r="E7" s="361"/>
    </row>
    <row r="8" spans="2:5" x14ac:dyDescent="0.2">
      <c r="B8" s="78" t="s">
        <v>22</v>
      </c>
      <c r="C8" s="79" t="s">
        <v>3</v>
      </c>
      <c r="D8" s="80"/>
      <c r="E8" s="362"/>
    </row>
    <row r="9" spans="2:5" ht="25.5" x14ac:dyDescent="0.2">
      <c r="B9" s="78" t="s">
        <v>26</v>
      </c>
      <c r="C9" s="79" t="s">
        <v>4</v>
      </c>
      <c r="D9" s="80"/>
      <c r="E9" s="362"/>
    </row>
    <row r="10" spans="2:5" ht="25.5" x14ac:dyDescent="0.2">
      <c r="B10" s="78" t="s">
        <v>20</v>
      </c>
      <c r="C10" s="79" t="s">
        <v>5</v>
      </c>
      <c r="D10" s="80"/>
      <c r="E10" s="362"/>
    </row>
    <row r="11" spans="2:5" ht="25.5" x14ac:dyDescent="0.2">
      <c r="B11" s="78" t="s">
        <v>23</v>
      </c>
      <c r="C11" s="79" t="s">
        <v>6</v>
      </c>
      <c r="D11" s="80"/>
      <c r="E11" s="362"/>
    </row>
    <row r="12" spans="2:5" ht="25.5" x14ac:dyDescent="0.2">
      <c r="B12" s="78" t="s">
        <v>21</v>
      </c>
      <c r="C12" s="79" t="s">
        <v>6</v>
      </c>
      <c r="D12" s="80"/>
      <c r="E12" s="362"/>
    </row>
    <row r="13" spans="2:5" ht="25.5" x14ac:dyDescent="0.2">
      <c r="B13" s="78" t="s">
        <v>29</v>
      </c>
      <c r="C13" s="79" t="s">
        <v>6</v>
      </c>
      <c r="D13" s="80"/>
      <c r="E13" s="362"/>
    </row>
    <row r="14" spans="2:5" ht="22.5" x14ac:dyDescent="0.2">
      <c r="B14" s="78" t="s">
        <v>19</v>
      </c>
      <c r="C14" s="363" t="s">
        <v>293</v>
      </c>
      <c r="D14" s="364"/>
      <c r="E14" s="365"/>
    </row>
    <row r="15" spans="2:5" ht="22.5" x14ac:dyDescent="0.2">
      <c r="B15" s="78" t="s">
        <v>25</v>
      </c>
      <c r="C15" s="366" t="s">
        <v>294</v>
      </c>
      <c r="D15" s="367">
        <f>SUM(D16:D17)</f>
        <v>1132900</v>
      </c>
      <c r="E15" s="367">
        <f>SUM(E16:E17)</f>
        <v>1132900</v>
      </c>
    </row>
    <row r="16" spans="2:5" ht="45" x14ac:dyDescent="0.2">
      <c r="B16" s="254" t="s">
        <v>361</v>
      </c>
      <c r="C16" s="363" t="s">
        <v>420</v>
      </c>
      <c r="D16" s="80">
        <v>400900</v>
      </c>
      <c r="E16" s="362">
        <v>400900</v>
      </c>
    </row>
    <row r="17" spans="2:5" ht="45" x14ac:dyDescent="0.2">
      <c r="B17" s="254" t="s">
        <v>408</v>
      </c>
      <c r="C17" s="363" t="s">
        <v>420</v>
      </c>
      <c r="D17" s="80">
        <v>732000</v>
      </c>
      <c r="E17" s="362">
        <v>732000</v>
      </c>
    </row>
    <row r="18" spans="2:5" ht="25.5" x14ac:dyDescent="0.2">
      <c r="B18" s="78" t="s">
        <v>42</v>
      </c>
      <c r="C18" s="79" t="s">
        <v>7</v>
      </c>
      <c r="D18" s="80"/>
      <c r="E18" s="362"/>
    </row>
    <row r="19" spans="2:5" x14ac:dyDescent="0.2">
      <c r="B19" s="78" t="s">
        <v>32</v>
      </c>
      <c r="C19" s="79" t="s">
        <v>8</v>
      </c>
      <c r="D19" s="80"/>
      <c r="E19" s="362"/>
    </row>
    <row r="20" spans="2:5" x14ac:dyDescent="0.2">
      <c r="B20" s="78" t="s">
        <v>90</v>
      </c>
      <c r="C20" s="79" t="s">
        <v>9</v>
      </c>
      <c r="D20" s="80"/>
      <c r="E20" s="362"/>
    </row>
    <row r="21" spans="2:5" ht="15" x14ac:dyDescent="0.2">
      <c r="B21" s="95" t="s">
        <v>93</v>
      </c>
      <c r="C21" s="96" t="s">
        <v>10</v>
      </c>
      <c r="D21" s="368">
        <f>SUM(D22:D25)</f>
        <v>2690036</v>
      </c>
      <c r="E21" s="368">
        <f>SUM(E22:E25)</f>
        <v>2690036</v>
      </c>
    </row>
    <row r="22" spans="2:5" ht="45" x14ac:dyDescent="0.2">
      <c r="B22" s="82" t="s">
        <v>11</v>
      </c>
      <c r="C22" s="369" t="s">
        <v>358</v>
      </c>
      <c r="D22" s="81">
        <v>14000</v>
      </c>
      <c r="E22" s="377">
        <v>14000</v>
      </c>
    </row>
    <row r="23" spans="2:5" ht="33.75" x14ac:dyDescent="0.2">
      <c r="B23" s="82" t="s">
        <v>11</v>
      </c>
      <c r="C23" s="369" t="s">
        <v>359</v>
      </c>
      <c r="D23" s="83">
        <v>2618201</v>
      </c>
      <c r="E23" s="378">
        <v>2618201</v>
      </c>
    </row>
    <row r="24" spans="2:5" ht="45" x14ac:dyDescent="0.2">
      <c r="B24" s="82" t="s">
        <v>12</v>
      </c>
      <c r="C24" s="369" t="s">
        <v>360</v>
      </c>
      <c r="D24" s="83">
        <v>17500</v>
      </c>
      <c r="E24" s="378">
        <v>17500</v>
      </c>
    </row>
    <row r="25" spans="2:5" ht="45" x14ac:dyDescent="0.2">
      <c r="B25" s="82" t="s">
        <v>113</v>
      </c>
      <c r="C25" s="369" t="s">
        <v>362</v>
      </c>
      <c r="D25" s="83">
        <v>40335</v>
      </c>
      <c r="E25" s="378">
        <v>40335</v>
      </c>
    </row>
    <row r="26" spans="2:5" ht="15.75" x14ac:dyDescent="0.2">
      <c r="B26" s="370" t="s">
        <v>91</v>
      </c>
      <c r="C26" s="371" t="s">
        <v>216</v>
      </c>
      <c r="D26" s="372">
        <v>2804400</v>
      </c>
      <c r="E26" s="372">
        <v>2804400</v>
      </c>
    </row>
    <row r="27" spans="2:5" ht="33.75" x14ac:dyDescent="0.2">
      <c r="B27" s="254" t="s">
        <v>214</v>
      </c>
      <c r="C27" s="363" t="s">
        <v>525</v>
      </c>
      <c r="D27" s="373">
        <v>2537640</v>
      </c>
      <c r="E27" s="373">
        <v>2537640</v>
      </c>
    </row>
    <row r="28" spans="2:5" ht="33.75" x14ac:dyDescent="0.2">
      <c r="B28" s="254" t="s">
        <v>215</v>
      </c>
      <c r="C28" s="363" t="s">
        <v>526</v>
      </c>
      <c r="D28" s="80">
        <v>266760</v>
      </c>
      <c r="E28" s="80">
        <v>266760</v>
      </c>
    </row>
    <row r="29" spans="2:5" ht="1.5" customHeight="1" x14ac:dyDescent="0.2">
      <c r="B29" s="374" t="s">
        <v>92</v>
      </c>
      <c r="C29" s="375"/>
      <c r="D29" s="376"/>
      <c r="E29" s="365"/>
    </row>
    <row r="30" spans="2:5" ht="16.5" thickBot="1" x14ac:dyDescent="0.25">
      <c r="B30" s="379" t="s">
        <v>95</v>
      </c>
      <c r="C30" s="380" t="s">
        <v>30</v>
      </c>
      <c r="D30" s="381">
        <f>D26+D21+D14+D15</f>
        <v>6627336</v>
      </c>
      <c r="E30" s="382">
        <f>E26+E21+E14+E15</f>
        <v>6627336</v>
      </c>
    </row>
    <row r="31" spans="2:5" x14ac:dyDescent="0.2">
      <c r="B31" s="53" t="s">
        <v>13</v>
      </c>
      <c r="C31" s="962" t="s">
        <v>14</v>
      </c>
      <c r="D31" s="962"/>
      <c r="E31" s="962"/>
    </row>
  </sheetData>
  <mergeCells count="4">
    <mergeCell ref="C2:E2"/>
    <mergeCell ref="C3:D3"/>
    <mergeCell ref="C4:D4"/>
    <mergeCell ref="C31:E31"/>
  </mergeCells>
  <phoneticPr fontId="39" type="noConversion"/>
  <pageMargins left="0.75" right="0.75" top="1" bottom="1" header="0.5" footer="0.5"/>
  <pageSetup paperSize="9" scale="97" orientation="portrait" r:id="rId1"/>
  <headerFooter alignWithMargins="0">
    <oddHeader>&amp;R9. sz. melléklet
....../2021.(II.15.) Egyek. Önk.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M38"/>
  <sheetViews>
    <sheetView topLeftCell="A7" zoomScale="110" zoomScaleNormal="110" workbookViewId="0">
      <selection activeCell="H13" sqref="H13"/>
    </sheetView>
  </sheetViews>
  <sheetFormatPr defaultRowHeight="12.75" x14ac:dyDescent="0.2"/>
  <cols>
    <col min="1" max="1" width="33.28515625" style="4" customWidth="1"/>
    <col min="2" max="2" width="18.28515625" style="4" customWidth="1"/>
    <col min="3" max="3" width="18.7109375" style="4" customWidth="1"/>
    <col min="4" max="4" width="17" style="4" customWidth="1"/>
    <col min="5" max="5" width="33.7109375" style="4" customWidth="1"/>
    <col min="6" max="6" width="16.85546875" style="4" customWidth="1"/>
    <col min="7" max="7" width="16.5703125" style="155" customWidth="1"/>
    <col min="8" max="8" width="19.7109375" style="4" customWidth="1"/>
    <col min="9" max="9" width="17.5703125" bestFit="1" customWidth="1"/>
    <col min="10" max="10" width="16.5703125" bestFit="1" customWidth="1"/>
    <col min="12" max="12" width="17.42578125" bestFit="1" customWidth="1"/>
    <col min="13" max="13" width="12.5703125" bestFit="1" customWidth="1"/>
  </cols>
  <sheetData>
    <row r="1" spans="1:13" x14ac:dyDescent="0.2">
      <c r="G1" s="154"/>
    </row>
    <row r="2" spans="1:13" x14ac:dyDescent="0.2">
      <c r="A2" s="966" t="s">
        <v>515</v>
      </c>
      <c r="B2" s="966"/>
      <c r="C2" s="966"/>
      <c r="D2" s="966"/>
      <c r="E2" s="966"/>
      <c r="F2" s="966"/>
      <c r="G2" s="966"/>
      <c r="H2" s="966"/>
    </row>
    <row r="3" spans="1:13" ht="35.25" customHeight="1" x14ac:dyDescent="0.2">
      <c r="A3" s="966"/>
      <c r="B3" s="966"/>
      <c r="C3" s="966"/>
      <c r="D3" s="966"/>
      <c r="E3" s="966"/>
      <c r="F3" s="966"/>
      <c r="G3" s="966"/>
      <c r="H3" s="966"/>
    </row>
    <row r="4" spans="1:13" x14ac:dyDescent="0.2">
      <c r="A4" s="10"/>
      <c r="B4" s="10"/>
      <c r="D4" s="10"/>
    </row>
    <row r="5" spans="1:13" ht="13.5" thickBot="1" x14ac:dyDescent="0.25">
      <c r="G5" s="967" t="s">
        <v>28</v>
      </c>
      <c r="H5" s="967"/>
    </row>
    <row r="6" spans="1:13" x14ac:dyDescent="0.2">
      <c r="A6" s="977" t="s">
        <v>415</v>
      </c>
      <c r="B6" s="963" t="s">
        <v>516</v>
      </c>
      <c r="C6" s="963" t="s">
        <v>510</v>
      </c>
      <c r="D6" s="963" t="s">
        <v>517</v>
      </c>
      <c r="E6" s="977" t="s">
        <v>17</v>
      </c>
      <c r="F6" s="963" t="s">
        <v>516</v>
      </c>
      <c r="G6" s="963" t="s">
        <v>510</v>
      </c>
      <c r="H6" s="963" t="s">
        <v>517</v>
      </c>
    </row>
    <row r="7" spans="1:13" x14ac:dyDescent="0.2">
      <c r="A7" s="978"/>
      <c r="B7" s="964"/>
      <c r="C7" s="964"/>
      <c r="D7" s="964"/>
      <c r="E7" s="978"/>
      <c r="F7" s="964"/>
      <c r="G7" s="964"/>
      <c r="H7" s="964"/>
    </row>
    <row r="8" spans="1:13" ht="13.5" thickBot="1" x14ac:dyDescent="0.25">
      <c r="A8" s="979"/>
      <c r="B8" s="965"/>
      <c r="C8" s="965"/>
      <c r="D8" s="965"/>
      <c r="E8" s="979"/>
      <c r="F8" s="965"/>
      <c r="G8" s="965"/>
      <c r="H8" s="965"/>
    </row>
    <row r="9" spans="1:13" ht="26.25" thickBot="1" x14ac:dyDescent="0.25">
      <c r="A9" s="386"/>
      <c r="B9" s="257"/>
      <c r="C9" s="257"/>
      <c r="D9" s="261"/>
      <c r="E9" s="264" t="s">
        <v>148</v>
      </c>
      <c r="F9" s="776">
        <f>'Mérleg7 '!D5</f>
        <v>711198261</v>
      </c>
      <c r="G9" s="776">
        <f>'Mérleg7 '!E5</f>
        <v>685350210</v>
      </c>
      <c r="H9" s="480">
        <v>740821582</v>
      </c>
      <c r="I9" s="620"/>
      <c r="L9" s="127"/>
    </row>
    <row r="10" spans="1:13" ht="25.5" x14ac:dyDescent="0.2">
      <c r="A10" s="386" t="s">
        <v>188</v>
      </c>
      <c r="B10" s="257">
        <f>'Mérleg7 '!D45</f>
        <v>365595885</v>
      </c>
      <c r="C10" s="257">
        <f>'Mérleg7 '!E45</f>
        <v>346822788</v>
      </c>
      <c r="D10" s="261">
        <v>435974855</v>
      </c>
      <c r="E10" s="472" t="s">
        <v>154</v>
      </c>
      <c r="F10" s="736"/>
      <c r="G10" s="736"/>
      <c r="H10" s="737"/>
      <c r="I10" s="620"/>
      <c r="L10" s="127"/>
    </row>
    <row r="11" spans="1:13" ht="25.5" customHeight="1" x14ac:dyDescent="0.2">
      <c r="A11" s="387" t="s">
        <v>211</v>
      </c>
      <c r="B11" s="256">
        <f>'Mérleg7 '!D48</f>
        <v>40180183</v>
      </c>
      <c r="C11" s="256">
        <f>'Mérleg7 '!E48</f>
        <v>33502293</v>
      </c>
      <c r="D11" s="262">
        <v>44183910</v>
      </c>
      <c r="E11" s="265" t="s">
        <v>235</v>
      </c>
      <c r="F11" s="820">
        <f>'Mérleg7 '!D19</f>
        <v>98637447</v>
      </c>
      <c r="G11" s="820">
        <f>'Mérleg7 '!E19</f>
        <v>75799224</v>
      </c>
      <c r="H11" s="481">
        <f>75522000-18574565</f>
        <v>56947435</v>
      </c>
      <c r="I11" s="620"/>
      <c r="L11" s="127"/>
    </row>
    <row r="12" spans="1:13" ht="14.25" customHeight="1" x14ac:dyDescent="0.2">
      <c r="A12" s="388" t="s">
        <v>190</v>
      </c>
      <c r="B12" s="256">
        <f>'Mérleg7 '!D49</f>
        <v>401283243</v>
      </c>
      <c r="C12" s="256">
        <f>'Mérleg7 '!E49</f>
        <v>649201323</v>
      </c>
      <c r="D12" s="262">
        <v>420499413</v>
      </c>
      <c r="E12" s="266" t="s">
        <v>146</v>
      </c>
      <c r="F12" s="782">
        <f>'Mérleg7 '!D28</f>
        <v>93960590</v>
      </c>
      <c r="G12" s="782">
        <f>'Mérleg7 '!E28</f>
        <v>87093525</v>
      </c>
      <c r="H12" s="481">
        <f>103542644-16452812</f>
        <v>87089832</v>
      </c>
      <c r="I12" s="619"/>
      <c r="J12" s="1"/>
      <c r="K12" s="188"/>
      <c r="L12" s="127"/>
    </row>
    <row r="13" spans="1:13" x14ac:dyDescent="0.2">
      <c r="A13" s="388" t="s">
        <v>191</v>
      </c>
      <c r="B13" s="256">
        <f>'Mérleg7 '!D50</f>
        <v>9507143</v>
      </c>
      <c r="C13" s="256">
        <f>'Mérleg7 '!E50</f>
        <v>8114592</v>
      </c>
      <c r="D13" s="262">
        <v>14425000</v>
      </c>
      <c r="E13" s="260" t="s">
        <v>165</v>
      </c>
      <c r="F13" s="782">
        <f>'Mérleg7 '!D30</f>
        <v>13653774</v>
      </c>
      <c r="G13" s="782">
        <f>'Mérleg7 '!E30</f>
        <v>7398997</v>
      </c>
      <c r="H13" s="481">
        <v>30951155</v>
      </c>
    </row>
    <row r="14" spans="1:13" x14ac:dyDescent="0.2">
      <c r="A14" s="388" t="s">
        <v>217</v>
      </c>
      <c r="B14" s="256">
        <f>'Mérleg7 '!D51</f>
        <v>103463523</v>
      </c>
      <c r="C14" s="256">
        <f>'Mérleg7 '!E51</f>
        <v>129740793</v>
      </c>
      <c r="D14" s="262">
        <f>134588160-5000000</f>
        <v>129588160</v>
      </c>
      <c r="E14" s="265" t="s">
        <v>236</v>
      </c>
      <c r="F14" s="782">
        <f>'Mérleg7 '!D35</f>
        <v>1164274652</v>
      </c>
      <c r="G14" s="782">
        <f>'Mérleg7 '!E35</f>
        <v>889710136</v>
      </c>
      <c r="H14" s="481">
        <f>11674851+128861334+40000000</f>
        <v>180536185</v>
      </c>
      <c r="I14" s="621"/>
      <c r="K14" s="2"/>
    </row>
    <row r="15" spans="1:13" ht="15.75" customHeight="1" x14ac:dyDescent="0.2">
      <c r="A15" s="388" t="s">
        <v>218</v>
      </c>
      <c r="B15" s="256"/>
      <c r="C15" s="256"/>
      <c r="D15" s="262">
        <v>15000000</v>
      </c>
      <c r="E15" s="266" t="s">
        <v>377</v>
      </c>
      <c r="F15" s="782">
        <f>'Mérleg7 '!D37</f>
        <v>1052470843</v>
      </c>
      <c r="G15" s="782">
        <f>'Mérleg7 '!E37</f>
        <v>786991433</v>
      </c>
      <c r="H15" s="258">
        <v>128861334</v>
      </c>
    </row>
    <row r="16" spans="1:13" ht="15.75" customHeight="1" thickBot="1" x14ac:dyDescent="0.25">
      <c r="A16" s="389" t="s">
        <v>202</v>
      </c>
      <c r="B16" s="385">
        <f>'Mérleg7 '!D58</f>
        <v>0</v>
      </c>
      <c r="C16" s="259"/>
      <c r="D16" s="263">
        <v>51674851</v>
      </c>
      <c r="E16" s="267" t="s">
        <v>379</v>
      </c>
      <c r="F16" s="783">
        <f>'Mérleg7 '!D38</f>
        <v>63169851</v>
      </c>
      <c r="G16" s="783">
        <f>'Mérleg7 '!E38</f>
        <v>29273260</v>
      </c>
      <c r="H16" s="268">
        <v>11674851</v>
      </c>
      <c r="L16" s="127"/>
      <c r="M16" s="127"/>
    </row>
    <row r="17" spans="1:13" ht="13.5" thickBot="1" x14ac:dyDescent="0.25">
      <c r="A17" s="13" t="s">
        <v>34</v>
      </c>
      <c r="B17" s="474">
        <f>SUM(B10+B11+B12+B13+B14+B16)</f>
        <v>920029977</v>
      </c>
      <c r="C17" s="474">
        <f t="shared" ref="C17:D17" si="0">SUM(C10+C11+C12+C13+C14+C16)</f>
        <v>1167381789</v>
      </c>
      <c r="D17" s="474">
        <f t="shared" si="0"/>
        <v>1096346189</v>
      </c>
      <c r="E17" s="475" t="s">
        <v>35</v>
      </c>
      <c r="F17" s="474">
        <f>F9+F11+F12+F13+F14+F16</f>
        <v>2144894575</v>
      </c>
      <c r="G17" s="474">
        <f>G9+G11+G12+G13+G14+G16</f>
        <v>1774625352</v>
      </c>
      <c r="H17" s="474">
        <f>H9+H10+H11+H12+H13+H14</f>
        <v>1096346189</v>
      </c>
      <c r="I17" s="564"/>
      <c r="J17" s="127"/>
      <c r="L17" s="564"/>
    </row>
    <row r="18" spans="1:13" x14ac:dyDescent="0.2">
      <c r="A18" s="971"/>
      <c r="B18" s="972"/>
      <c r="C18" s="972"/>
      <c r="D18" s="972"/>
      <c r="E18" s="972"/>
      <c r="F18" s="972"/>
      <c r="G18" s="972"/>
      <c r="H18" s="973"/>
      <c r="J18" s="127"/>
      <c r="L18" s="127"/>
    </row>
    <row r="19" spans="1:13" ht="13.5" thickBot="1" x14ac:dyDescent="0.25">
      <c r="A19" s="974"/>
      <c r="B19" s="975"/>
      <c r="C19" s="975"/>
      <c r="D19" s="975"/>
      <c r="E19" s="975"/>
      <c r="F19" s="975"/>
      <c r="G19" s="975"/>
      <c r="H19" s="976"/>
      <c r="J19" s="127"/>
    </row>
    <row r="20" spans="1:13" ht="41.25" customHeight="1" thickBot="1" x14ac:dyDescent="0.25">
      <c r="A20" s="608" t="s">
        <v>36</v>
      </c>
      <c r="B20" s="606" t="s">
        <v>516</v>
      </c>
      <c r="C20" s="606" t="s">
        <v>510</v>
      </c>
      <c r="D20" s="607" t="s">
        <v>517</v>
      </c>
      <c r="E20" s="610" t="s">
        <v>37</v>
      </c>
      <c r="F20" s="609" t="s">
        <v>516</v>
      </c>
      <c r="G20" s="609" t="s">
        <v>510</v>
      </c>
      <c r="H20" s="609" t="s">
        <v>517</v>
      </c>
      <c r="J20" s="127"/>
      <c r="L20" s="127"/>
      <c r="M20" s="127"/>
    </row>
    <row r="21" spans="1:13" ht="27" customHeight="1" x14ac:dyDescent="0.2">
      <c r="A21" s="463"/>
      <c r="B21" s="604"/>
      <c r="C21" s="604"/>
      <c r="D21" s="605"/>
      <c r="E21" s="473" t="s">
        <v>378</v>
      </c>
      <c r="F21" s="618"/>
      <c r="G21" s="618"/>
      <c r="H21" s="480"/>
      <c r="J21" s="564"/>
      <c r="L21" s="127"/>
      <c r="M21" s="127"/>
    </row>
    <row r="22" spans="1:13" ht="25.5" x14ac:dyDescent="0.2">
      <c r="A22" s="463"/>
      <c r="B22" s="464"/>
      <c r="C22" s="464"/>
      <c r="D22" s="471"/>
      <c r="E22" s="472" t="s">
        <v>154</v>
      </c>
      <c r="F22" s="782">
        <f>'Mérleg7 '!D16</f>
        <v>671697561</v>
      </c>
      <c r="G22" s="782">
        <f>'Mérleg7 '!E16</f>
        <v>1626784871</v>
      </c>
      <c r="H22" s="481">
        <v>274060762</v>
      </c>
      <c r="J22" s="564"/>
      <c r="M22" s="127"/>
    </row>
    <row r="23" spans="1:13" x14ac:dyDescent="0.2">
      <c r="A23" s="463"/>
      <c r="B23" s="464"/>
      <c r="C23" s="464"/>
      <c r="D23" s="471"/>
      <c r="E23" s="265" t="s">
        <v>235</v>
      </c>
      <c r="F23" s="782"/>
      <c r="G23" s="782"/>
      <c r="H23" s="481">
        <v>18574565</v>
      </c>
      <c r="J23" s="564"/>
      <c r="M23" s="127"/>
    </row>
    <row r="24" spans="1:13" x14ac:dyDescent="0.2">
      <c r="A24" s="463"/>
      <c r="B24" s="464"/>
      <c r="C24" s="464"/>
      <c r="D24" s="471"/>
      <c r="E24" s="266" t="s">
        <v>146</v>
      </c>
      <c r="F24" s="782"/>
      <c r="G24" s="782"/>
      <c r="H24" s="481">
        <v>16452812</v>
      </c>
      <c r="J24" s="564"/>
    </row>
    <row r="25" spans="1:13" x14ac:dyDescent="0.2">
      <c r="A25" s="463" t="s">
        <v>391</v>
      </c>
      <c r="B25" s="256"/>
      <c r="C25" s="256"/>
      <c r="D25" s="262">
        <v>5000000</v>
      </c>
      <c r="E25" s="265" t="s">
        <v>168</v>
      </c>
      <c r="F25" s="782">
        <f>'Mérleg7 '!D29</f>
        <v>53514945</v>
      </c>
      <c r="G25" s="782">
        <f>'Mérleg7 '!E29</f>
        <v>41484647</v>
      </c>
      <c r="H25" s="481">
        <v>30000000</v>
      </c>
      <c r="J25" s="564"/>
    </row>
    <row r="26" spans="1:13" x14ac:dyDescent="0.2">
      <c r="A26" s="260" t="s">
        <v>192</v>
      </c>
      <c r="B26" s="256">
        <f>'Mérleg7 '!D55</f>
        <v>842300209</v>
      </c>
      <c r="C26" s="256">
        <f>'Mérleg7 '!E55</f>
        <v>1801641575</v>
      </c>
      <c r="D26" s="262">
        <v>350752695</v>
      </c>
      <c r="E26" s="265" t="s">
        <v>156</v>
      </c>
      <c r="F26" s="782">
        <v>0</v>
      </c>
      <c r="G26" s="782">
        <v>0</v>
      </c>
      <c r="H26" s="481"/>
      <c r="J26" s="564"/>
    </row>
    <row r="27" spans="1:13" ht="25.5" x14ac:dyDescent="0.2">
      <c r="A27" s="260" t="s">
        <v>193</v>
      </c>
      <c r="B27" s="256">
        <f>'Mérleg7 '!D56</f>
        <v>39441130</v>
      </c>
      <c r="C27" s="256">
        <f>'Mérleg7 '!E56</f>
        <v>38038530</v>
      </c>
      <c r="D27" s="262">
        <v>21959717</v>
      </c>
      <c r="E27" s="266" t="s">
        <v>237</v>
      </c>
      <c r="F27" s="782">
        <f>'Mérleg7 '!D36</f>
        <v>48633958</v>
      </c>
      <c r="G27" s="782">
        <f>'Mérleg7 '!E36</f>
        <v>73445443</v>
      </c>
      <c r="H27" s="611">
        <f>SUM(H28:H29)</f>
        <v>57198838</v>
      </c>
      <c r="J27" s="564"/>
    </row>
    <row r="28" spans="1:13" ht="15" customHeight="1" x14ac:dyDescent="0.2">
      <c r="A28" s="260" t="s">
        <v>194</v>
      </c>
      <c r="B28" s="256">
        <f>'Mérleg7 '!D57</f>
        <v>1207165</v>
      </c>
      <c r="C28" s="256">
        <f>'Mérleg7 '!E57</f>
        <v>280320</v>
      </c>
      <c r="D28" s="262"/>
      <c r="E28" s="265" t="s">
        <v>401</v>
      </c>
      <c r="F28" s="782">
        <f>'Mérleg7 '!D36</f>
        <v>48633958</v>
      </c>
      <c r="G28" s="782">
        <f>'Mérleg7 '!E36</f>
        <v>73445443</v>
      </c>
      <c r="H28" s="481">
        <v>10000000</v>
      </c>
      <c r="J28" s="564"/>
    </row>
    <row r="29" spans="1:13" ht="15" customHeight="1" thickBot="1" x14ac:dyDescent="0.25">
      <c r="A29" s="462" t="s">
        <v>202</v>
      </c>
      <c r="B29" s="256"/>
      <c r="C29" s="256"/>
      <c r="D29" s="262">
        <v>18574565</v>
      </c>
      <c r="E29" s="468" t="s">
        <v>376</v>
      </c>
      <c r="F29" s="783"/>
      <c r="G29" s="783"/>
      <c r="H29" s="469">
        <v>47198838</v>
      </c>
      <c r="J29" s="564"/>
    </row>
    <row r="30" spans="1:13" ht="13.5" thickBot="1" x14ac:dyDescent="0.25">
      <c r="A30" s="470" t="s">
        <v>38</v>
      </c>
      <c r="B30" s="466">
        <f>SUM(B20:B29)</f>
        <v>882948504</v>
      </c>
      <c r="C30" s="466">
        <f t="shared" ref="C30:D30" si="1">SUM(C20:C29)</f>
        <v>1839960425</v>
      </c>
      <c r="D30" s="466">
        <f t="shared" si="1"/>
        <v>396286977</v>
      </c>
      <c r="E30" s="465" t="s">
        <v>39</v>
      </c>
      <c r="F30" s="466">
        <f>SUM(F21:F27)</f>
        <v>773846464</v>
      </c>
      <c r="G30" s="466">
        <f>SUM(G21:G27)</f>
        <v>1741714961</v>
      </c>
      <c r="H30" s="467">
        <f>H21+H22+H23+H24+H25+H26+H27</f>
        <v>396286977</v>
      </c>
      <c r="J30" s="564"/>
    </row>
    <row r="31" spans="1:13" ht="27" customHeight="1" x14ac:dyDescent="0.35">
      <c r="A31" s="968"/>
      <c r="B31" s="969"/>
      <c r="C31" s="969"/>
      <c r="D31" s="969"/>
      <c r="E31" s="969"/>
      <c r="F31" s="969"/>
      <c r="G31" s="969"/>
      <c r="H31" s="970"/>
      <c r="J31" s="564"/>
    </row>
    <row r="32" spans="1:13" ht="13.5" thickBot="1" x14ac:dyDescent="0.25">
      <c r="A32" s="14" t="s">
        <v>40</v>
      </c>
      <c r="B32" s="255">
        <f>B17+B30</f>
        <v>1802978481</v>
      </c>
      <c r="C32" s="255">
        <f>C17+C30</f>
        <v>3007342214</v>
      </c>
      <c r="D32" s="255">
        <f>D17+D30</f>
        <v>1492633166</v>
      </c>
      <c r="E32" s="15" t="s">
        <v>40</v>
      </c>
      <c r="F32" s="255">
        <f>F17+F30</f>
        <v>2918741039</v>
      </c>
      <c r="G32" s="255">
        <f>G17+G30</f>
        <v>3516340313</v>
      </c>
      <c r="H32" s="255">
        <f>H17+H30</f>
        <v>1492633166</v>
      </c>
      <c r="J32" s="564"/>
    </row>
    <row r="33" spans="3:8" x14ac:dyDescent="0.2">
      <c r="G33" s="617"/>
      <c r="H33" s="125"/>
    </row>
    <row r="34" spans="3:8" x14ac:dyDescent="0.2">
      <c r="C34" s="7"/>
      <c r="D34" s="7"/>
      <c r="F34" s="125"/>
      <c r="G34" s="125"/>
      <c r="H34" s="7"/>
    </row>
    <row r="35" spans="3:8" x14ac:dyDescent="0.2">
      <c r="C35" s="716"/>
      <c r="D35" s="125"/>
      <c r="E35" s="716"/>
      <c r="G35" s="617"/>
      <c r="H35" s="716"/>
    </row>
    <row r="36" spans="3:8" x14ac:dyDescent="0.2">
      <c r="D36" s="125"/>
      <c r="F36" s="716"/>
    </row>
    <row r="37" spans="3:8" x14ac:dyDescent="0.2">
      <c r="D37" s="125"/>
    </row>
    <row r="38" spans="3:8" x14ac:dyDescent="0.2">
      <c r="D38" s="125"/>
    </row>
  </sheetData>
  <mergeCells count="12">
    <mergeCell ref="G6:G8"/>
    <mergeCell ref="H6:H8"/>
    <mergeCell ref="A2:H3"/>
    <mergeCell ref="G5:H5"/>
    <mergeCell ref="A31:H31"/>
    <mergeCell ref="A18:H19"/>
    <mergeCell ref="B6:B8"/>
    <mergeCell ref="A6:A8"/>
    <mergeCell ref="E6:E8"/>
    <mergeCell ref="C6:C8"/>
    <mergeCell ref="D6:D8"/>
    <mergeCell ref="F6:F8"/>
  </mergeCells>
  <phoneticPr fontId="4" type="noConversion"/>
  <pageMargins left="0.78740157480314965" right="0.19685039370078741" top="0.98425196850393704" bottom="0.98425196850393704" header="0.51181102362204722" footer="0.51181102362204722"/>
  <pageSetup paperSize="9" scale="69" orientation="landscape" r:id="rId1"/>
  <headerFooter alignWithMargins="0">
    <oddHeader>&amp;R10. sz. melléklet
.../2021.(II.15.) Egyek Önk.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1:S25"/>
  <sheetViews>
    <sheetView zoomScaleNormal="100" workbookViewId="0">
      <selection activeCell="H21" sqref="H21"/>
    </sheetView>
  </sheetViews>
  <sheetFormatPr defaultRowHeight="12.75" x14ac:dyDescent="0.2"/>
  <cols>
    <col min="8" max="8" width="20" customWidth="1"/>
  </cols>
  <sheetData>
    <row r="1" spans="1:19" ht="20.25" x14ac:dyDescent="0.3">
      <c r="A1" s="982" t="s">
        <v>105</v>
      </c>
      <c r="B1" s="982"/>
      <c r="C1" s="982"/>
      <c r="D1" s="982"/>
      <c r="E1" s="982"/>
      <c r="F1" s="982"/>
      <c r="G1" s="982"/>
      <c r="H1" s="982"/>
      <c r="I1" s="982"/>
      <c r="L1" s="100"/>
      <c r="M1" s="2"/>
      <c r="N1" s="2"/>
      <c r="O1" s="2"/>
      <c r="P1" s="2"/>
      <c r="Q1" s="2"/>
      <c r="R1" s="2"/>
      <c r="S1" s="100"/>
    </row>
    <row r="2" spans="1:19" ht="15.75" x14ac:dyDescent="0.25">
      <c r="A2" s="98"/>
      <c r="B2" s="98"/>
      <c r="C2" s="98"/>
      <c r="D2" s="98"/>
      <c r="E2" s="98"/>
      <c r="F2" s="98"/>
      <c r="G2" s="98"/>
      <c r="H2" s="98"/>
      <c r="I2" s="98"/>
      <c r="L2" s="100"/>
      <c r="M2" s="2"/>
      <c r="N2" s="2"/>
      <c r="O2" s="980"/>
      <c r="P2" s="980"/>
      <c r="Q2" s="980"/>
      <c r="R2" s="980"/>
      <c r="S2" s="101"/>
    </row>
    <row r="3" spans="1:19" ht="15.75" x14ac:dyDescent="0.25">
      <c r="E3" s="933"/>
      <c r="F3" s="933"/>
      <c r="L3" s="220"/>
      <c r="M3" s="218"/>
      <c r="N3" s="218"/>
      <c r="O3" s="981"/>
      <c r="P3" s="981"/>
      <c r="Q3" s="981"/>
      <c r="R3" s="981"/>
      <c r="S3" s="217"/>
    </row>
    <row r="4" spans="1:19" ht="15.75" x14ac:dyDescent="0.25">
      <c r="A4" s="933" t="s">
        <v>518</v>
      </c>
      <c r="B4" s="933"/>
      <c r="C4" s="933"/>
      <c r="D4" s="933"/>
      <c r="E4" s="933"/>
      <c r="F4" s="933"/>
      <c r="G4" s="933"/>
      <c r="H4" s="933"/>
      <c r="I4" s="933"/>
    </row>
    <row r="5" spans="1:19" ht="15.75" x14ac:dyDescent="0.25">
      <c r="A5" s="933" t="s">
        <v>106</v>
      </c>
      <c r="B5" s="933"/>
      <c r="C5" s="933"/>
      <c r="D5" s="933"/>
      <c r="E5" s="933"/>
      <c r="F5" s="933"/>
      <c r="G5" s="933"/>
      <c r="H5" s="933"/>
      <c r="I5" s="933"/>
    </row>
    <row r="11" spans="1:19" x14ac:dyDescent="0.2">
      <c r="H11" s="237" t="s">
        <v>383</v>
      </c>
    </row>
    <row r="12" spans="1:19" x14ac:dyDescent="0.2">
      <c r="A12" s="99"/>
      <c r="B12" s="99"/>
      <c r="C12" s="101"/>
      <c r="D12" s="158"/>
      <c r="E12" s="158"/>
      <c r="F12" s="158"/>
      <c r="G12" s="158"/>
      <c r="H12" s="99"/>
      <c r="I12" s="2"/>
    </row>
    <row r="13" spans="1:19" x14ac:dyDescent="0.2">
      <c r="A13" s="2"/>
      <c r="B13" s="2"/>
      <c r="C13" s="2"/>
      <c r="D13" s="2"/>
      <c r="E13" s="2"/>
      <c r="F13" s="2"/>
      <c r="G13" s="2"/>
      <c r="H13" s="2"/>
      <c r="I13" s="2"/>
    </row>
    <row r="14" spans="1:19" ht="15.75" x14ac:dyDescent="0.25">
      <c r="A14" s="100" t="s">
        <v>386</v>
      </c>
      <c r="B14" s="2"/>
      <c r="C14" s="2"/>
      <c r="D14" s="2"/>
      <c r="E14" s="2"/>
      <c r="F14" s="2"/>
      <c r="G14" s="2"/>
      <c r="H14" s="100">
        <f>H16</f>
        <v>15000000</v>
      </c>
      <c r="I14" s="2"/>
    </row>
    <row r="15" spans="1:19" ht="19.5" customHeight="1" x14ac:dyDescent="0.25">
      <c r="A15" s="100"/>
      <c r="B15" s="2"/>
      <c r="C15" s="2"/>
      <c r="D15" s="980"/>
      <c r="E15" s="980"/>
      <c r="F15" s="980"/>
      <c r="G15" s="980"/>
      <c r="H15" s="101"/>
      <c r="I15" s="2"/>
    </row>
    <row r="16" spans="1:19" s="219" customFormat="1" ht="27" customHeight="1" x14ac:dyDescent="0.2">
      <c r="A16" s="220"/>
      <c r="B16" s="218"/>
      <c r="C16" s="218"/>
      <c r="D16" s="981" t="s">
        <v>409</v>
      </c>
      <c r="E16" s="981"/>
      <c r="F16" s="981"/>
      <c r="G16" s="981"/>
      <c r="H16" s="217">
        <v>15000000</v>
      </c>
      <c r="I16" s="218"/>
      <c r="R16"/>
    </row>
    <row r="17" spans="1:18" s="219" customFormat="1" ht="27" customHeight="1" x14ac:dyDescent="0.2">
      <c r="A17" s="220"/>
      <c r="B17" s="218"/>
      <c r="C17" s="218"/>
      <c r="D17" s="559"/>
      <c r="E17" s="559"/>
      <c r="F17" s="559"/>
      <c r="G17" s="559"/>
      <c r="H17" s="217"/>
      <c r="I17" s="218"/>
    </row>
    <row r="18" spans="1:18" s="219" customFormat="1" ht="27" customHeight="1" x14ac:dyDescent="0.25">
      <c r="A18" s="100" t="s">
        <v>385</v>
      </c>
      <c r="B18" s="2"/>
      <c r="C18" s="2"/>
      <c r="D18" s="2"/>
      <c r="E18" s="2"/>
      <c r="F18" s="2"/>
      <c r="G18" s="2"/>
      <c r="H18" s="100">
        <f>SUM(H20:H20)</f>
        <v>5000000</v>
      </c>
      <c r="I18" s="218"/>
    </row>
    <row r="19" spans="1:18" ht="15.75" customHeight="1" x14ac:dyDescent="0.25">
      <c r="A19" s="100"/>
      <c r="B19" s="2"/>
      <c r="C19" s="2"/>
      <c r="D19" s="980"/>
      <c r="E19" s="980"/>
      <c r="F19" s="980"/>
      <c r="G19" s="980"/>
      <c r="H19" s="101"/>
      <c r="I19" s="2"/>
      <c r="R19" s="219"/>
    </row>
    <row r="20" spans="1:18" ht="30" customHeight="1" x14ac:dyDescent="0.2">
      <c r="A20" s="220"/>
      <c r="B20" s="218"/>
      <c r="C20" s="218"/>
      <c r="D20" s="981" t="s">
        <v>447</v>
      </c>
      <c r="E20" s="981"/>
      <c r="F20" s="981"/>
      <c r="G20" s="981"/>
      <c r="H20" s="217">
        <v>5000000</v>
      </c>
      <c r="I20" s="2"/>
    </row>
    <row r="21" spans="1:18" ht="32.25" customHeight="1" x14ac:dyDescent="0.3">
      <c r="A21" s="983" t="s">
        <v>107</v>
      </c>
      <c r="B21" s="983"/>
      <c r="C21" s="983"/>
      <c r="D21" s="983"/>
      <c r="E21" s="102"/>
      <c r="F21" s="102"/>
      <c r="G21" s="102"/>
      <c r="H21" s="102">
        <f>H14+H18</f>
        <v>20000000</v>
      </c>
      <c r="I21" s="2"/>
    </row>
    <row r="22" spans="1:18" ht="15.75" customHeight="1" x14ac:dyDescent="0.2">
      <c r="A22" s="220"/>
      <c r="B22" s="218"/>
      <c r="C22" s="218"/>
      <c r="I22" s="2"/>
    </row>
    <row r="23" spans="1:18" ht="36.75" customHeight="1" x14ac:dyDescent="0.2">
      <c r="A23" s="220"/>
      <c r="B23" s="218"/>
      <c r="C23" s="218"/>
      <c r="I23" s="2"/>
    </row>
    <row r="24" spans="1:18" ht="22.5" customHeight="1" x14ac:dyDescent="0.25">
      <c r="A24" s="100"/>
      <c r="B24" s="2"/>
      <c r="C24" s="2"/>
      <c r="I24" s="2"/>
    </row>
    <row r="25" spans="1:18" ht="39.75" customHeight="1" x14ac:dyDescent="0.2">
      <c r="I25" s="2"/>
    </row>
  </sheetData>
  <mergeCells count="11">
    <mergeCell ref="A21:D21"/>
    <mergeCell ref="D15:G15"/>
    <mergeCell ref="D16:G16"/>
    <mergeCell ref="E3:F3"/>
    <mergeCell ref="D19:G19"/>
    <mergeCell ref="D20:G20"/>
    <mergeCell ref="O2:R2"/>
    <mergeCell ref="O3:R3"/>
    <mergeCell ref="A1:I1"/>
    <mergeCell ref="A4:I4"/>
    <mergeCell ref="A5:I5"/>
  </mergeCells>
  <phoneticPr fontId="39" type="noConversion"/>
  <pageMargins left="0.75" right="0.75" top="1" bottom="1" header="0.5" footer="0.5"/>
  <pageSetup paperSize="9" scale="98" orientation="portrait" r:id="rId1"/>
  <headerFooter alignWithMargins="0">
    <oddHeader>&amp;R11. sz. melléklet
..../2021.(II.15.) Egyek Önk.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/>
  <dimension ref="A1:N14"/>
  <sheetViews>
    <sheetView zoomScaleNormal="100" workbookViewId="0">
      <selection activeCell="G9" sqref="G9:H9"/>
    </sheetView>
  </sheetViews>
  <sheetFormatPr defaultRowHeight="12.75" x14ac:dyDescent="0.2"/>
  <cols>
    <col min="4" max="4" width="23.5703125" customWidth="1"/>
    <col min="6" max="6" width="15.28515625" customWidth="1"/>
    <col min="8" max="8" width="11" customWidth="1"/>
    <col min="10" max="10" width="18.28515625" customWidth="1"/>
  </cols>
  <sheetData>
    <row r="1" spans="1:14" ht="38.25" customHeight="1" x14ac:dyDescent="0.2">
      <c r="A1" s="989" t="s">
        <v>519</v>
      </c>
      <c r="B1" s="989"/>
      <c r="C1" s="989"/>
      <c r="D1" s="989"/>
      <c r="E1" s="989"/>
      <c r="F1" s="989"/>
      <c r="G1" s="989"/>
      <c r="H1" s="989"/>
      <c r="I1" s="989"/>
      <c r="J1" s="989"/>
    </row>
    <row r="2" spans="1:14" ht="15.75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4"/>
    </row>
    <row r="3" spans="1:14" ht="15" x14ac:dyDescent="0.2">
      <c r="A3" s="104"/>
      <c r="B3" s="104"/>
      <c r="C3" s="104"/>
      <c r="D3" s="104"/>
      <c r="E3" s="104"/>
      <c r="F3" s="104"/>
      <c r="G3" s="104"/>
      <c r="H3" s="104"/>
      <c r="I3" s="104"/>
      <c r="J3" s="104"/>
    </row>
    <row r="4" spans="1:14" ht="15.75" thickBot="1" x14ac:dyDescent="0.25">
      <c r="A4" s="104"/>
      <c r="B4" s="104"/>
      <c r="C4" s="104"/>
      <c r="D4" s="104"/>
      <c r="E4" s="104"/>
      <c r="F4" s="104"/>
      <c r="G4" s="994" t="s">
        <v>104</v>
      </c>
      <c r="H4" s="994"/>
      <c r="I4" s="994"/>
      <c r="J4" s="994"/>
    </row>
    <row r="5" spans="1:14" ht="16.5" thickBot="1" x14ac:dyDescent="0.3">
      <c r="A5" s="997" t="s">
        <v>16</v>
      </c>
      <c r="B5" s="998"/>
      <c r="C5" s="998"/>
      <c r="D5" s="999"/>
      <c r="E5" s="1003" t="s">
        <v>54</v>
      </c>
      <c r="F5" s="1004"/>
      <c r="G5" s="1004"/>
      <c r="H5" s="1004"/>
      <c r="I5" s="1004"/>
      <c r="J5" s="1005"/>
    </row>
    <row r="6" spans="1:14" ht="16.5" thickBot="1" x14ac:dyDescent="0.3">
      <c r="A6" s="1000"/>
      <c r="B6" s="1001"/>
      <c r="C6" s="1001"/>
      <c r="D6" s="1002"/>
      <c r="E6" s="990" t="s">
        <v>108</v>
      </c>
      <c r="F6" s="991"/>
      <c r="G6" s="995" t="s">
        <v>109</v>
      </c>
      <c r="H6" s="996"/>
      <c r="I6" s="992" t="s">
        <v>449</v>
      </c>
      <c r="J6" s="993"/>
    </row>
    <row r="7" spans="1:14" ht="37.5" customHeight="1" thickBot="1" x14ac:dyDescent="0.25">
      <c r="A7" s="984" t="s">
        <v>441</v>
      </c>
      <c r="B7" s="985"/>
      <c r="C7" s="985"/>
      <c r="D7" s="986"/>
      <c r="E7" s="987">
        <f>23692469</f>
        <v>23692469</v>
      </c>
      <c r="F7" s="988"/>
      <c r="G7" s="987">
        <f>85000+20053596</f>
        <v>20138596</v>
      </c>
      <c r="H7" s="988"/>
      <c r="I7" s="987">
        <f>G7-E7</f>
        <v>-3553873</v>
      </c>
      <c r="J7" s="988"/>
      <c r="M7" s="730"/>
      <c r="N7" s="349"/>
    </row>
    <row r="8" spans="1:14" ht="37.5" customHeight="1" thickBot="1" x14ac:dyDescent="0.25">
      <c r="A8" s="984" t="s">
        <v>450</v>
      </c>
      <c r="B8" s="985"/>
      <c r="C8" s="985"/>
      <c r="D8" s="986"/>
      <c r="E8" s="987">
        <f>250000+2356548+1403350+254000</f>
        <v>4263898</v>
      </c>
      <c r="F8" s="988"/>
      <c r="G8" s="987">
        <v>4263898</v>
      </c>
      <c r="H8" s="988"/>
      <c r="I8" s="987">
        <f t="shared" ref="I8:I11" si="0">G8-E8</f>
        <v>0</v>
      </c>
      <c r="J8" s="988"/>
    </row>
    <row r="9" spans="1:14" ht="37.5" customHeight="1" thickBot="1" x14ac:dyDescent="0.25">
      <c r="A9" s="984" t="s">
        <v>451</v>
      </c>
      <c r="B9" s="985"/>
      <c r="C9" s="985"/>
      <c r="D9" s="986"/>
      <c r="E9" s="987">
        <f>5804330+1940000</f>
        <v>7744330</v>
      </c>
      <c r="F9" s="988"/>
      <c r="G9" s="987">
        <f>2431298+3035882</f>
        <v>5467180</v>
      </c>
      <c r="H9" s="988"/>
      <c r="I9" s="987">
        <f t="shared" si="0"/>
        <v>-2277150</v>
      </c>
      <c r="J9" s="988"/>
    </row>
    <row r="10" spans="1:14" ht="46.5" customHeight="1" thickBot="1" x14ac:dyDescent="0.25">
      <c r="A10" s="984" t="s">
        <v>357</v>
      </c>
      <c r="B10" s="985"/>
      <c r="C10" s="985"/>
      <c r="D10" s="986"/>
      <c r="E10" s="987">
        <f>124445858+25389548</f>
        <v>149835406</v>
      </c>
      <c r="F10" s="988"/>
      <c r="G10" s="987">
        <v>149835406</v>
      </c>
      <c r="H10" s="988"/>
      <c r="I10" s="987">
        <f t="shared" si="0"/>
        <v>0</v>
      </c>
      <c r="J10" s="988"/>
    </row>
    <row r="11" spans="1:14" ht="46.5" customHeight="1" thickBot="1" x14ac:dyDescent="0.25">
      <c r="A11" s="1014" t="s">
        <v>410</v>
      </c>
      <c r="B11" s="1015"/>
      <c r="C11" s="1015"/>
      <c r="D11" s="1016"/>
      <c r="E11" s="987">
        <f>63907148+38192347</f>
        <v>102099495</v>
      </c>
      <c r="F11" s="988"/>
      <c r="G11" s="987">
        <v>101075353</v>
      </c>
      <c r="H11" s="988"/>
      <c r="I11" s="987">
        <f t="shared" si="0"/>
        <v>-1024142</v>
      </c>
      <c r="J11" s="988"/>
    </row>
    <row r="12" spans="1:14" ht="26.25" customHeight="1" thickBot="1" x14ac:dyDescent="0.25">
      <c r="A12" s="1007" t="s">
        <v>41</v>
      </c>
      <c r="B12" s="1008"/>
      <c r="C12" s="1008"/>
      <c r="D12" s="1009"/>
      <c r="E12" s="1010">
        <f>SUM(E10:F11)</f>
        <v>251934901</v>
      </c>
      <c r="F12" s="1011"/>
      <c r="G12" s="1010">
        <f>SUM(G10:H11)</f>
        <v>250910759</v>
      </c>
      <c r="H12" s="1011"/>
      <c r="I12" s="1012">
        <f>SUM(I7:J11)</f>
        <v>-6855165</v>
      </c>
      <c r="J12" s="1013"/>
    </row>
    <row r="13" spans="1:14" ht="35.25" customHeight="1" x14ac:dyDescent="0.2"/>
    <row r="14" spans="1:14" ht="29.25" customHeight="1" x14ac:dyDescent="0.2">
      <c r="A14" s="1006"/>
      <c r="B14" s="1006"/>
      <c r="C14" s="1006"/>
      <c r="D14" s="1006"/>
      <c r="E14" s="1006"/>
      <c r="F14" s="1006"/>
      <c r="G14" s="1006"/>
      <c r="H14" s="1006"/>
      <c r="I14" s="1006"/>
      <c r="J14" s="1006"/>
    </row>
  </sheetData>
  <mergeCells count="32">
    <mergeCell ref="A14:J14"/>
    <mergeCell ref="G10:H10"/>
    <mergeCell ref="A10:D10"/>
    <mergeCell ref="E10:F10"/>
    <mergeCell ref="A12:D12"/>
    <mergeCell ref="G12:H12"/>
    <mergeCell ref="I12:J12"/>
    <mergeCell ref="E12:F12"/>
    <mergeCell ref="A11:D11"/>
    <mergeCell ref="E11:F11"/>
    <mergeCell ref="G11:H11"/>
    <mergeCell ref="I11:J11"/>
    <mergeCell ref="I10:J10"/>
    <mergeCell ref="A1:J1"/>
    <mergeCell ref="E6:F6"/>
    <mergeCell ref="I6:J6"/>
    <mergeCell ref="G4:J4"/>
    <mergeCell ref="G6:H6"/>
    <mergeCell ref="A5:D6"/>
    <mergeCell ref="E5:J5"/>
    <mergeCell ref="A9:D9"/>
    <mergeCell ref="E9:F9"/>
    <mergeCell ref="G9:H9"/>
    <mergeCell ref="I9:J9"/>
    <mergeCell ref="I7:J7"/>
    <mergeCell ref="A8:D8"/>
    <mergeCell ref="E8:F8"/>
    <mergeCell ref="G8:H8"/>
    <mergeCell ref="I8:J8"/>
    <mergeCell ref="A7:D7"/>
    <mergeCell ref="E7:F7"/>
    <mergeCell ref="G7:H7"/>
  </mergeCells>
  <phoneticPr fontId="39" type="noConversion"/>
  <pageMargins left="0.75" right="0.75" top="1" bottom="1" header="0.5" footer="0.5"/>
  <pageSetup paperSize="9" scale="79" orientation="landscape" r:id="rId1"/>
  <headerFooter alignWithMargins="0">
    <oddHeader>&amp;R12. sz. melléket 
..../2021.(II.15.) Egyek Önk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topLeftCell="C19" zoomScale="130" zoomScaleNormal="130" workbookViewId="0">
      <selection activeCell="N22" sqref="N22"/>
    </sheetView>
  </sheetViews>
  <sheetFormatPr defaultRowHeight="12.75" x14ac:dyDescent="0.2"/>
  <cols>
    <col min="2" max="2" width="26.85546875" customWidth="1"/>
    <col min="3" max="3" width="16.42578125" customWidth="1"/>
    <col min="4" max="4" width="16.28515625" customWidth="1"/>
    <col min="5" max="6" width="16.7109375" customWidth="1"/>
    <col min="7" max="7" width="15.7109375" customWidth="1"/>
    <col min="8" max="8" width="17" customWidth="1"/>
    <col min="9" max="9" width="17.7109375" customWidth="1"/>
    <col min="10" max="10" width="16.140625" customWidth="1"/>
    <col min="11" max="11" width="16.42578125" customWidth="1"/>
    <col min="12" max="12" width="17" customWidth="1"/>
    <col min="13" max="13" width="16.42578125" customWidth="1"/>
    <col min="14" max="14" width="17" customWidth="1"/>
    <col min="15" max="15" width="12" customWidth="1"/>
    <col min="16" max="16" width="11.140625" customWidth="1"/>
  </cols>
  <sheetData>
    <row r="1" spans="1:8" s="159" customFormat="1" ht="33" customHeight="1" x14ac:dyDescent="0.25">
      <c r="A1" s="1022" t="s">
        <v>132</v>
      </c>
      <c r="B1" s="1022"/>
      <c r="C1" s="1022"/>
      <c r="D1" s="1022"/>
      <c r="E1" s="1022"/>
      <c r="F1" s="1022"/>
      <c r="G1" s="1022"/>
    </row>
    <row r="2" spans="1:8" s="159" customFormat="1" ht="15.95" customHeight="1" thickBot="1" x14ac:dyDescent="0.3">
      <c r="A2" s="211"/>
      <c r="B2" s="211"/>
      <c r="C2" s="1023"/>
      <c r="D2" s="1023"/>
      <c r="E2" s="1024" t="s">
        <v>473</v>
      </c>
      <c r="F2" s="1024"/>
      <c r="G2" s="1024"/>
      <c r="H2" s="161"/>
    </row>
    <row r="3" spans="1:8" s="159" customFormat="1" ht="63" customHeight="1" x14ac:dyDescent="0.25">
      <c r="A3" s="1025" t="s">
        <v>77</v>
      </c>
      <c r="B3" s="1027" t="s">
        <v>135</v>
      </c>
      <c r="C3" s="1029" t="s">
        <v>119</v>
      </c>
      <c r="D3" s="1030"/>
      <c r="E3" s="1030"/>
      <c r="F3" s="1031"/>
      <c r="G3" s="1032" t="s">
        <v>452</v>
      </c>
    </row>
    <row r="4" spans="1:8" s="159" customFormat="1" ht="15" x14ac:dyDescent="0.25">
      <c r="A4" s="1026"/>
      <c r="B4" s="1028"/>
      <c r="C4" s="162" t="s">
        <v>380</v>
      </c>
      <c r="D4" s="162" t="s">
        <v>403</v>
      </c>
      <c r="E4" s="162" t="s">
        <v>429</v>
      </c>
      <c r="F4" s="162" t="s">
        <v>458</v>
      </c>
      <c r="G4" s="1033"/>
    </row>
    <row r="5" spans="1:8" s="159" customFormat="1" ht="15" x14ac:dyDescent="0.25">
      <c r="A5" s="705">
        <v>1</v>
      </c>
      <c r="B5" s="705">
        <v>2</v>
      </c>
      <c r="C5" s="705">
        <v>4</v>
      </c>
      <c r="D5" s="705">
        <v>5</v>
      </c>
      <c r="E5" s="705">
        <v>6</v>
      </c>
      <c r="F5" s="705">
        <v>7</v>
      </c>
      <c r="G5" s="705">
        <v>8</v>
      </c>
    </row>
    <row r="6" spans="1:8" s="159" customFormat="1" ht="65.25" customHeight="1" thickBot="1" x14ac:dyDescent="0.3">
      <c r="A6" s="706" t="s">
        <v>18</v>
      </c>
      <c r="B6" s="568" t="s">
        <v>453</v>
      </c>
      <c r="C6" s="707">
        <v>5790000</v>
      </c>
      <c r="D6" s="707">
        <v>5790000</v>
      </c>
      <c r="E6" s="707">
        <v>5790000</v>
      </c>
      <c r="F6" s="708">
        <v>5790000</v>
      </c>
      <c r="G6" s="709">
        <f>SUM(C6:F6)</f>
        <v>23160000</v>
      </c>
    </row>
    <row r="7" spans="1:8" s="159" customFormat="1" ht="65.25" customHeight="1" thickBot="1" x14ac:dyDescent="0.3">
      <c r="A7" s="706" t="s">
        <v>22</v>
      </c>
      <c r="B7" s="411" t="s">
        <v>312</v>
      </c>
      <c r="C7" s="710">
        <v>950000</v>
      </c>
      <c r="D7" s="710">
        <v>950000</v>
      </c>
      <c r="E7" s="710">
        <v>950000</v>
      </c>
      <c r="F7" s="711">
        <v>950000</v>
      </c>
      <c r="G7" s="709">
        <f>SUM(C7:F7)</f>
        <v>3800000</v>
      </c>
    </row>
    <row r="8" spans="1:8" s="159" customFormat="1" ht="121.5" customHeight="1" thickBot="1" x14ac:dyDescent="0.3">
      <c r="A8" s="706" t="s">
        <v>26</v>
      </c>
      <c r="B8" s="411" t="s">
        <v>318</v>
      </c>
      <c r="C8" s="710">
        <v>135255</v>
      </c>
      <c r="D8" s="710">
        <v>135255</v>
      </c>
      <c r="E8" s="710">
        <v>135255</v>
      </c>
      <c r="F8" s="711">
        <v>135255</v>
      </c>
      <c r="G8" s="709">
        <f t="shared" ref="G8:G15" si="0">SUM(C8:F8)</f>
        <v>541020</v>
      </c>
    </row>
    <row r="9" spans="1:8" s="159" customFormat="1" ht="86.25" customHeight="1" thickBot="1" x14ac:dyDescent="0.3">
      <c r="A9" s="706" t="s">
        <v>20</v>
      </c>
      <c r="B9" s="411" t="s">
        <v>311</v>
      </c>
      <c r="C9" s="710">
        <v>30480</v>
      </c>
      <c r="D9" s="710">
        <v>30480</v>
      </c>
      <c r="E9" s="710">
        <v>30480</v>
      </c>
      <c r="F9" s="711">
        <v>30480</v>
      </c>
      <c r="G9" s="709">
        <f t="shared" si="0"/>
        <v>121920</v>
      </c>
    </row>
    <row r="10" spans="1:8" s="159" customFormat="1" ht="62.25" customHeight="1" thickBot="1" x14ac:dyDescent="0.3">
      <c r="A10" s="706" t="s">
        <v>23</v>
      </c>
      <c r="B10" s="411" t="s">
        <v>310</v>
      </c>
      <c r="C10" s="710">
        <v>980000</v>
      </c>
      <c r="D10" s="710">
        <v>980000</v>
      </c>
      <c r="E10" s="710">
        <v>980000</v>
      </c>
      <c r="F10" s="711">
        <v>980000</v>
      </c>
      <c r="G10" s="709">
        <f t="shared" si="0"/>
        <v>3920000</v>
      </c>
    </row>
    <row r="11" spans="1:8" s="159" customFormat="1" ht="65.25" customHeight="1" thickBot="1" x14ac:dyDescent="0.3">
      <c r="A11" s="706" t="s">
        <v>27</v>
      </c>
      <c r="B11" s="409" t="s">
        <v>454</v>
      </c>
      <c r="C11" s="712">
        <v>796000</v>
      </c>
      <c r="D11" s="712">
        <v>796000</v>
      </c>
      <c r="E11" s="712">
        <v>796000</v>
      </c>
      <c r="F11" s="713">
        <v>796000</v>
      </c>
      <c r="G11" s="709">
        <f t="shared" si="0"/>
        <v>3184000</v>
      </c>
    </row>
    <row r="12" spans="1:8" s="159" customFormat="1" ht="67.5" customHeight="1" thickBot="1" x14ac:dyDescent="0.3">
      <c r="A12" s="706" t="s">
        <v>21</v>
      </c>
      <c r="B12" s="410" t="s">
        <v>330</v>
      </c>
      <c r="C12" s="710">
        <v>1984630</v>
      </c>
      <c r="D12" s="710">
        <v>1984630</v>
      </c>
      <c r="E12" s="710">
        <v>1984630</v>
      </c>
      <c r="F12" s="711">
        <v>1984630</v>
      </c>
      <c r="G12" s="709">
        <f t="shared" si="0"/>
        <v>7938520</v>
      </c>
    </row>
    <row r="13" spans="1:8" s="159" customFormat="1" ht="67.5" customHeight="1" thickBot="1" x14ac:dyDescent="0.3">
      <c r="A13" s="706" t="s">
        <v>29</v>
      </c>
      <c r="B13" s="412" t="s">
        <v>332</v>
      </c>
      <c r="C13" s="714">
        <v>262000</v>
      </c>
      <c r="D13" s="714">
        <v>262000</v>
      </c>
      <c r="E13" s="714">
        <v>262000</v>
      </c>
      <c r="F13" s="715">
        <v>262000</v>
      </c>
      <c r="G13" s="709">
        <f t="shared" si="0"/>
        <v>1048000</v>
      </c>
    </row>
    <row r="14" spans="1:8" s="159" customFormat="1" ht="67.5" customHeight="1" thickBot="1" x14ac:dyDescent="0.3">
      <c r="A14" s="706" t="s">
        <v>24</v>
      </c>
      <c r="B14" s="568" t="s">
        <v>396</v>
      </c>
      <c r="C14" s="707">
        <v>980000</v>
      </c>
      <c r="D14" s="707">
        <v>980000</v>
      </c>
      <c r="E14" s="707">
        <v>980000</v>
      </c>
      <c r="F14" s="708">
        <v>980000</v>
      </c>
      <c r="G14" s="709">
        <f t="shared" si="0"/>
        <v>3920000</v>
      </c>
    </row>
    <row r="15" spans="1:8" s="159" customFormat="1" ht="54" customHeight="1" thickBot="1" x14ac:dyDescent="0.3">
      <c r="A15" s="706" t="s">
        <v>19</v>
      </c>
      <c r="B15" s="411" t="s">
        <v>331</v>
      </c>
      <c r="C15" s="710">
        <v>1436000</v>
      </c>
      <c r="D15" s="710">
        <v>1436000</v>
      </c>
      <c r="E15" s="710">
        <v>1436000</v>
      </c>
      <c r="F15" s="711">
        <v>1436000</v>
      </c>
      <c r="G15" s="709">
        <f t="shared" si="0"/>
        <v>5744000</v>
      </c>
    </row>
    <row r="16" spans="1:8" s="159" customFormat="1" ht="54" customHeight="1" thickBot="1" x14ac:dyDescent="0.3">
      <c r="A16" s="706" t="s">
        <v>25</v>
      </c>
      <c r="B16" s="411" t="s">
        <v>455</v>
      </c>
      <c r="C16" s="710">
        <v>3861200</v>
      </c>
      <c r="D16" s="710">
        <v>3861200</v>
      </c>
      <c r="E16" s="710">
        <v>3861200</v>
      </c>
      <c r="F16" s="711">
        <v>3861200</v>
      </c>
      <c r="G16" s="709">
        <f t="shared" ref="G16:G19" si="1">SUM(C16:F16)</f>
        <v>15444800</v>
      </c>
    </row>
    <row r="17" spans="1:25" s="159" customFormat="1" ht="54" customHeight="1" thickBot="1" x14ac:dyDescent="0.3">
      <c r="A17" s="706" t="s">
        <v>42</v>
      </c>
      <c r="B17" s="411" t="s">
        <v>468</v>
      </c>
      <c r="C17" s="710">
        <v>676000</v>
      </c>
      <c r="D17" s="710">
        <v>676000</v>
      </c>
      <c r="E17" s="710">
        <v>676000</v>
      </c>
      <c r="F17" s="711">
        <v>676000</v>
      </c>
      <c r="G17" s="709">
        <f t="shared" si="1"/>
        <v>2704000</v>
      </c>
    </row>
    <row r="18" spans="1:25" s="159" customFormat="1" ht="54" customHeight="1" x14ac:dyDescent="0.25">
      <c r="A18" s="777" t="s">
        <v>32</v>
      </c>
      <c r="B18" s="778" t="s">
        <v>469</v>
      </c>
      <c r="C18" s="779">
        <v>693000</v>
      </c>
      <c r="D18" s="779">
        <v>693000</v>
      </c>
      <c r="E18" s="779">
        <v>693000</v>
      </c>
      <c r="F18" s="780">
        <v>693000</v>
      </c>
      <c r="G18" s="781">
        <f t="shared" ref="G18" si="2">SUM(C18:F18)</f>
        <v>2772000</v>
      </c>
    </row>
    <row r="19" spans="1:25" s="159" customFormat="1" ht="75.75" customHeight="1" thickBot="1" x14ac:dyDescent="0.3">
      <c r="A19" s="777" t="s">
        <v>32</v>
      </c>
      <c r="B19" s="1058" t="s">
        <v>599</v>
      </c>
      <c r="C19" s="779"/>
      <c r="D19" s="779"/>
      <c r="E19" s="779">
        <v>1000000</v>
      </c>
      <c r="F19" s="780">
        <v>1000000</v>
      </c>
      <c r="G19" s="781">
        <f t="shared" si="1"/>
        <v>2000000</v>
      </c>
    </row>
    <row r="20" spans="1:25" s="159" customFormat="1" ht="15.75" thickBot="1" x14ac:dyDescent="0.3">
      <c r="A20" s="1059"/>
      <c r="B20" s="1060" t="s">
        <v>120</v>
      </c>
      <c r="C20" s="1061">
        <f>SUM(C6:C19)</f>
        <v>18574565</v>
      </c>
      <c r="D20" s="1061">
        <f>SUM(D6:D19)</f>
        <v>18574565</v>
      </c>
      <c r="E20" s="1061">
        <f>SUM(E6:E19)</f>
        <v>19574565</v>
      </c>
      <c r="F20" s="1061">
        <f>SUM(F6:F19)</f>
        <v>19574565</v>
      </c>
      <c r="G20" s="1062">
        <f>SUM(G6:G19)</f>
        <v>76298260</v>
      </c>
    </row>
    <row r="21" spans="1:25" s="159" customFormat="1" ht="30.75" customHeight="1" x14ac:dyDescent="0.25">
      <c r="A21" s="1034" t="s">
        <v>520</v>
      </c>
      <c r="B21" s="1034"/>
      <c r="C21" s="1034"/>
      <c r="D21" s="1034"/>
      <c r="E21" s="1034"/>
      <c r="F21" s="1034"/>
      <c r="G21" s="1034"/>
      <c r="H21" s="1034"/>
      <c r="I21" s="1034"/>
      <c r="J21" s="1034"/>
      <c r="K21" s="1034"/>
      <c r="L21" s="1034"/>
      <c r="M21" s="1034"/>
      <c r="N21" s="1034"/>
      <c r="O21" s="1034"/>
      <c r="P21" s="1034"/>
    </row>
    <row r="22" spans="1:25" s="159" customFormat="1" ht="15.75" thickBot="1" x14ac:dyDescent="0.3">
      <c r="A22" s="160"/>
      <c r="B22" s="160"/>
      <c r="N22" s="163" t="s">
        <v>118</v>
      </c>
    </row>
    <row r="23" spans="1:25" s="159" customFormat="1" ht="63.75" thickBot="1" x14ac:dyDescent="0.3">
      <c r="A23" s="558" t="s">
        <v>77</v>
      </c>
      <c r="B23" s="1035" t="s">
        <v>130</v>
      </c>
      <c r="C23" s="1036"/>
      <c r="D23" s="1037"/>
      <c r="E23" s="613" t="s">
        <v>319</v>
      </c>
      <c r="F23" s="613" t="s">
        <v>320</v>
      </c>
      <c r="G23" s="613" t="s">
        <v>321</v>
      </c>
      <c r="H23" s="613" t="s">
        <v>322</v>
      </c>
      <c r="I23" s="613" t="s">
        <v>323</v>
      </c>
      <c r="J23" s="613" t="s">
        <v>329</v>
      </c>
      <c r="K23" s="613" t="s">
        <v>381</v>
      </c>
      <c r="L23" s="613" t="s">
        <v>404</v>
      </c>
      <c r="M23" s="613" t="s">
        <v>456</v>
      </c>
      <c r="N23" s="612" t="s">
        <v>521</v>
      </c>
      <c r="O23" s="390"/>
      <c r="P23" s="390"/>
      <c r="Q23" s="390"/>
      <c r="R23" s="390"/>
      <c r="S23" s="390"/>
      <c r="T23" s="390"/>
      <c r="U23" s="390"/>
      <c r="V23" s="390"/>
      <c r="W23" s="390"/>
      <c r="X23" s="390"/>
      <c r="Y23" s="391"/>
    </row>
    <row r="24" spans="1:25" s="159" customFormat="1" ht="16.5" thickBot="1" x14ac:dyDescent="0.3">
      <c r="A24" s="704" t="s">
        <v>18</v>
      </c>
      <c r="B24" s="1019" t="s">
        <v>599</v>
      </c>
      <c r="C24" s="1020"/>
      <c r="D24" s="1021"/>
      <c r="E24" s="1063">
        <v>10000000</v>
      </c>
      <c r="F24" s="1063"/>
      <c r="G24" s="1063"/>
      <c r="H24" s="1063"/>
      <c r="I24" s="1063"/>
      <c r="J24" s="1063"/>
      <c r="K24" s="1063"/>
      <c r="L24" s="1063"/>
      <c r="M24" s="1063"/>
      <c r="N24" s="1063"/>
      <c r="O24" s="390"/>
      <c r="P24" s="390"/>
      <c r="Q24" s="390"/>
      <c r="R24" s="390"/>
      <c r="S24" s="390"/>
      <c r="T24" s="390"/>
      <c r="U24" s="390"/>
      <c r="V24" s="390"/>
      <c r="W24" s="390"/>
      <c r="X24" s="390"/>
      <c r="Y24" s="391"/>
    </row>
    <row r="25" spans="1:25" s="159" customFormat="1" ht="15.75" customHeight="1" thickBot="1" x14ac:dyDescent="0.3">
      <c r="A25" s="717" t="s">
        <v>26</v>
      </c>
      <c r="B25" s="1038" t="s">
        <v>134</v>
      </c>
      <c r="C25" s="1038"/>
      <c r="D25" s="1039"/>
      <c r="E25" s="614">
        <f>SUM(E24)</f>
        <v>10000000</v>
      </c>
      <c r="F25" s="614">
        <f t="shared" ref="F25:N25" si="3">SUM(F24)</f>
        <v>0</v>
      </c>
      <c r="G25" s="614">
        <f t="shared" si="3"/>
        <v>0</v>
      </c>
      <c r="H25" s="614">
        <f t="shared" si="3"/>
        <v>0</v>
      </c>
      <c r="I25" s="614">
        <f t="shared" si="3"/>
        <v>0</v>
      </c>
      <c r="J25" s="614">
        <f t="shared" si="3"/>
        <v>0</v>
      </c>
      <c r="K25" s="614">
        <f t="shared" si="3"/>
        <v>0</v>
      </c>
      <c r="L25" s="614">
        <f t="shared" si="3"/>
        <v>0</v>
      </c>
      <c r="M25" s="614">
        <f t="shared" si="3"/>
        <v>0</v>
      </c>
      <c r="N25" s="614">
        <f t="shared" si="3"/>
        <v>0</v>
      </c>
    </row>
    <row r="26" spans="1:25" s="159" customFormat="1" ht="33" customHeight="1" thickBot="1" x14ac:dyDescent="0.3">
      <c r="A26" s="717" t="s">
        <v>20</v>
      </c>
      <c r="B26" s="1040" t="s">
        <v>522</v>
      </c>
      <c r="C26" s="1040"/>
      <c r="D26" s="1041"/>
      <c r="E26" s="486"/>
      <c r="F26" s="486">
        <v>1000000</v>
      </c>
      <c r="G26" s="486">
        <v>1000000</v>
      </c>
      <c r="H26" s="486">
        <v>1000000</v>
      </c>
      <c r="I26" s="486">
        <v>1000000</v>
      </c>
      <c r="J26" s="486">
        <v>1000000</v>
      </c>
      <c r="K26" s="486">
        <v>1000000</v>
      </c>
      <c r="L26" s="486">
        <v>1000000</v>
      </c>
      <c r="M26" s="486">
        <v>1000000</v>
      </c>
      <c r="N26" s="486">
        <v>1000000</v>
      </c>
    </row>
    <row r="27" spans="1:25" s="159" customFormat="1" ht="15.75" customHeight="1" thickBot="1" x14ac:dyDescent="0.3">
      <c r="A27" s="717" t="s">
        <v>23</v>
      </c>
      <c r="B27" s="1017" t="s">
        <v>523</v>
      </c>
      <c r="C27" s="1017"/>
      <c r="D27" s="1018"/>
      <c r="E27" s="483">
        <f t="shared" ref="E27:N27" si="4">SUM(E25:E26)</f>
        <v>10000000</v>
      </c>
      <c r="F27" s="482">
        <f t="shared" si="4"/>
        <v>1000000</v>
      </c>
      <c r="G27" s="483">
        <f t="shared" si="4"/>
        <v>1000000</v>
      </c>
      <c r="H27" s="484">
        <f t="shared" si="4"/>
        <v>1000000</v>
      </c>
      <c r="I27" s="485">
        <f t="shared" si="4"/>
        <v>1000000</v>
      </c>
      <c r="J27" s="484">
        <f t="shared" si="4"/>
        <v>1000000</v>
      </c>
      <c r="K27" s="485">
        <f t="shared" si="4"/>
        <v>1000000</v>
      </c>
      <c r="L27" s="484">
        <f t="shared" si="4"/>
        <v>1000000</v>
      </c>
      <c r="M27" s="485">
        <f t="shared" si="4"/>
        <v>1000000</v>
      </c>
      <c r="N27" s="485">
        <f t="shared" si="4"/>
        <v>1000000</v>
      </c>
    </row>
  </sheetData>
  <mergeCells count="13">
    <mergeCell ref="B27:D27"/>
    <mergeCell ref="B24:D24"/>
    <mergeCell ref="A1:G1"/>
    <mergeCell ref="C2:D2"/>
    <mergeCell ref="E2:G2"/>
    <mergeCell ref="A3:A4"/>
    <mergeCell ref="B3:B4"/>
    <mergeCell ref="C3:F3"/>
    <mergeCell ref="G3:G4"/>
    <mergeCell ref="A21:P21"/>
    <mergeCell ref="B23:D23"/>
    <mergeCell ref="B25:D25"/>
    <mergeCell ref="B26:D26"/>
  </mergeCells>
  <pageMargins left="0.51181102362204722" right="0.51181102362204722" top="0.74803149606299213" bottom="0.74803149606299213" header="0.31496062992125984" footer="0.31496062992125984"/>
  <pageSetup paperSize="9" scale="47" orientation="landscape" r:id="rId1"/>
  <headerFooter>
    <oddHeader>&amp;R13. sz. melléklet
...../2021.(II.15.) Egyek Önk.</oddHeader>
  </headerFooter>
  <rowBreaks count="1" manualBreakCount="1">
    <brk id="20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140" zoomScaleNormal="140" workbookViewId="0">
      <selection activeCell="I13" sqref="I13"/>
    </sheetView>
  </sheetViews>
  <sheetFormatPr defaultColWidth="8" defaultRowHeight="15" x14ac:dyDescent="0.25"/>
  <cols>
    <col min="1" max="1" width="4.85546875" style="159" customWidth="1"/>
    <col min="2" max="2" width="58.85546875" style="159" customWidth="1"/>
    <col min="3" max="3" width="16.7109375" style="159" customWidth="1"/>
    <col min="4" max="5" width="17.140625" style="159" customWidth="1"/>
    <col min="6" max="6" width="19" style="159" customWidth="1"/>
    <col min="7" max="16384" width="8" style="159"/>
  </cols>
  <sheetData>
    <row r="1" spans="1:9" ht="33" customHeight="1" x14ac:dyDescent="0.25">
      <c r="A1" s="1022" t="s">
        <v>133</v>
      </c>
      <c r="B1" s="1022"/>
      <c r="C1" s="1022"/>
      <c r="D1" s="1022"/>
      <c r="E1" s="1022"/>
      <c r="F1" s="1022"/>
    </row>
    <row r="2" spans="1:9" ht="15.95" customHeight="1" thickBot="1" x14ac:dyDescent="0.3">
      <c r="A2" s="160"/>
      <c r="B2" s="160"/>
      <c r="D2" s="161"/>
      <c r="F2" s="163" t="s">
        <v>472</v>
      </c>
    </row>
    <row r="3" spans="1:9" ht="26.25" customHeight="1" thickBot="1" x14ac:dyDescent="0.3">
      <c r="A3" s="164" t="s">
        <v>77</v>
      </c>
      <c r="B3" s="165" t="s">
        <v>121</v>
      </c>
      <c r="C3" s="166" t="s">
        <v>405</v>
      </c>
      <c r="D3" s="166" t="s">
        <v>439</v>
      </c>
      <c r="E3" s="166" t="s">
        <v>457</v>
      </c>
      <c r="F3" s="166" t="s">
        <v>524</v>
      </c>
    </row>
    <row r="4" spans="1:9" ht="15.75" thickBot="1" x14ac:dyDescent="0.3">
      <c r="A4" s="167">
        <v>1</v>
      </c>
      <c r="B4" s="168">
        <v>2</v>
      </c>
      <c r="C4" s="569">
        <v>3</v>
      </c>
      <c r="D4" s="570">
        <v>4</v>
      </c>
      <c r="E4" s="571">
        <v>5</v>
      </c>
      <c r="F4" s="572">
        <v>6</v>
      </c>
    </row>
    <row r="5" spans="1:9" x14ac:dyDescent="0.25">
      <c r="A5" s="169" t="s">
        <v>18</v>
      </c>
      <c r="B5" s="573" t="s">
        <v>122</v>
      </c>
      <c r="C5" s="577">
        <v>73230000</v>
      </c>
      <c r="D5" s="577">
        <v>73230000</v>
      </c>
      <c r="E5" s="577">
        <v>73230000</v>
      </c>
      <c r="F5" s="577">
        <v>73230000</v>
      </c>
    </row>
    <row r="6" spans="1:9" x14ac:dyDescent="0.25">
      <c r="A6" s="170" t="s">
        <v>22</v>
      </c>
      <c r="B6" s="574" t="s">
        <v>123</v>
      </c>
      <c r="C6" s="578"/>
      <c r="D6" s="578"/>
      <c r="E6" s="578"/>
      <c r="F6" s="578"/>
    </row>
    <row r="7" spans="1:9" x14ac:dyDescent="0.25">
      <c r="A7" s="170" t="s">
        <v>26</v>
      </c>
      <c r="B7" s="574" t="s">
        <v>124</v>
      </c>
      <c r="C7" s="578">
        <v>2292000</v>
      </c>
      <c r="D7" s="578">
        <v>2292000</v>
      </c>
      <c r="E7" s="578">
        <v>2292000</v>
      </c>
      <c r="F7" s="578">
        <v>2292000</v>
      </c>
      <c r="I7" s="190"/>
    </row>
    <row r="8" spans="1:9" ht="23.25" x14ac:dyDescent="0.25">
      <c r="A8" s="170" t="s">
        <v>20</v>
      </c>
      <c r="B8" s="575" t="s">
        <v>125</v>
      </c>
      <c r="C8" s="578">
        <v>30000000</v>
      </c>
      <c r="D8" s="578">
        <v>30000000</v>
      </c>
      <c r="E8" s="578">
        <v>30000000</v>
      </c>
      <c r="F8" s="578">
        <v>30000000</v>
      </c>
    </row>
    <row r="9" spans="1:9" x14ac:dyDescent="0.25">
      <c r="A9" s="171" t="s">
        <v>23</v>
      </c>
      <c r="B9" s="576" t="s">
        <v>126</v>
      </c>
      <c r="C9" s="578"/>
      <c r="D9" s="578"/>
      <c r="E9" s="578"/>
      <c r="F9" s="578"/>
    </row>
    <row r="10" spans="1:9" x14ac:dyDescent="0.25">
      <c r="A10" s="170" t="s">
        <v>27</v>
      </c>
      <c r="B10" s="574" t="s">
        <v>127</v>
      </c>
      <c r="C10" s="578"/>
      <c r="D10" s="578"/>
      <c r="E10" s="578"/>
      <c r="F10" s="578"/>
    </row>
    <row r="11" spans="1:9" ht="15.75" thickBot="1" x14ac:dyDescent="0.3">
      <c r="A11" s="171" t="s">
        <v>21</v>
      </c>
      <c r="B11" s="576" t="s">
        <v>128</v>
      </c>
      <c r="C11" s="579"/>
      <c r="D11" s="579"/>
      <c r="E11" s="579"/>
      <c r="F11" s="579"/>
    </row>
    <row r="12" spans="1:9" s="222" customFormat="1" ht="15.75" thickBot="1" x14ac:dyDescent="0.3">
      <c r="A12" s="1042" t="s">
        <v>129</v>
      </c>
      <c r="B12" s="1043"/>
      <c r="C12" s="221">
        <f>SUM(C5:C11)</f>
        <v>105522000</v>
      </c>
      <c r="D12" s="221">
        <f>SUM(D5:D11)</f>
        <v>105522000</v>
      </c>
      <c r="E12" s="221">
        <f>SUM(E5:E11)</f>
        <v>105522000</v>
      </c>
      <c r="F12" s="221">
        <f>SUM(F5:F11)</f>
        <v>105522000</v>
      </c>
    </row>
    <row r="13" spans="1:9" s="223" customFormat="1" ht="33" customHeight="1" thickBot="1" x14ac:dyDescent="0.25">
      <c r="A13" s="1044" t="s">
        <v>289</v>
      </c>
      <c r="B13" s="1045"/>
      <c r="C13" s="392">
        <f>C12*0.5</f>
        <v>52761000</v>
      </c>
      <c r="D13" s="392">
        <f>D12*0.5</f>
        <v>52761000</v>
      </c>
      <c r="E13" s="392">
        <f>E12*0.5</f>
        <v>52761000</v>
      </c>
      <c r="F13" s="392">
        <f>F12*0.5</f>
        <v>52761000</v>
      </c>
    </row>
    <row r="14" spans="1:9" s="223" customFormat="1" thickBot="1" x14ac:dyDescent="0.25">
      <c r="A14" s="1046"/>
      <c r="B14" s="1047"/>
      <c r="C14" s="224">
        <f>C13/C12</f>
        <v>0.5</v>
      </c>
      <c r="D14" s="224">
        <f>D13/D12</f>
        <v>0.5</v>
      </c>
      <c r="E14" s="224">
        <f>E13/E12</f>
        <v>0.5</v>
      </c>
      <c r="F14" s="224">
        <f>F13/F12</f>
        <v>0.5</v>
      </c>
    </row>
  </sheetData>
  <mergeCells count="4">
    <mergeCell ref="A12:B12"/>
    <mergeCell ref="A1:F1"/>
    <mergeCell ref="A13:B13"/>
    <mergeCell ref="A14:B14"/>
  </mergeCells>
  <phoneticPr fontId="32" type="noConversion"/>
  <printOptions horizontalCentered="1"/>
  <pageMargins left="0.78740157480314965" right="0.78740157480314965" top="1.3779527559055118" bottom="0.98425196850393704" header="0.78740157480314965" footer="0.78740157480314965"/>
  <pageSetup paperSize="9" scale="95" orientation="landscape" r:id="rId1"/>
  <headerFooter alignWithMargins="0">
    <oddHeader>&amp;R&amp;"Times New Roman CE,Félkövér dőlt"&amp;11 14. melléklet a ...../2021. (II.15.) önkormányzati rendelethez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4" zoomScale="90" zoomScaleNormal="90" workbookViewId="0">
      <selection activeCell="I26" sqref="I26"/>
    </sheetView>
  </sheetViews>
  <sheetFormatPr defaultRowHeight="12.75" x14ac:dyDescent="0.2"/>
  <cols>
    <col min="1" max="1" width="60.140625" customWidth="1"/>
    <col min="2" max="2" width="17" customWidth="1"/>
    <col min="3" max="3" width="18.5703125" customWidth="1"/>
    <col min="4" max="4" width="16.42578125" customWidth="1"/>
    <col min="5" max="6" width="16.140625" customWidth="1"/>
    <col min="7" max="7" width="15.5703125" customWidth="1"/>
    <col min="8" max="9" width="17.42578125" customWidth="1"/>
    <col min="10" max="10" width="17.85546875" customWidth="1"/>
  </cols>
  <sheetData>
    <row r="1" spans="1:10" ht="15.75" customHeight="1" x14ac:dyDescent="0.2">
      <c r="A1" s="869" t="s">
        <v>484</v>
      </c>
      <c r="B1" s="869"/>
      <c r="C1" s="869"/>
      <c r="D1" s="869"/>
      <c r="E1" s="869"/>
      <c r="F1" s="869"/>
      <c r="G1" s="869"/>
      <c r="H1" s="869"/>
      <c r="I1" s="869"/>
      <c r="J1" s="869"/>
    </row>
    <row r="2" spans="1:10" x14ac:dyDescent="0.2">
      <c r="A2" s="869"/>
      <c r="B2" s="869"/>
      <c r="C2" s="869"/>
      <c r="D2" s="869"/>
      <c r="E2" s="869"/>
      <c r="F2" s="869"/>
      <c r="G2" s="869"/>
      <c r="H2" s="869"/>
      <c r="I2" s="869"/>
      <c r="J2" s="869"/>
    </row>
    <row r="5" spans="1:10" ht="13.5" thickBot="1" x14ac:dyDescent="0.25"/>
    <row r="6" spans="1:10" ht="86.25" customHeight="1" thickBot="1" x14ac:dyDescent="0.25">
      <c r="A6" s="870" t="s">
        <v>169</v>
      </c>
      <c r="B6" s="591" t="s">
        <v>148</v>
      </c>
      <c r="C6" s="682" t="s">
        <v>154</v>
      </c>
      <c r="D6" s="591" t="s">
        <v>167</v>
      </c>
      <c r="E6" s="591" t="s">
        <v>146</v>
      </c>
      <c r="F6" s="591" t="s">
        <v>168</v>
      </c>
      <c r="G6" s="591" t="s">
        <v>165</v>
      </c>
      <c r="H6" s="591" t="s">
        <v>156</v>
      </c>
      <c r="I6" s="591" t="s">
        <v>163</v>
      </c>
      <c r="J6" s="592" t="s">
        <v>30</v>
      </c>
    </row>
    <row r="7" spans="1:10" ht="25.5" customHeight="1" thickBot="1" x14ac:dyDescent="0.25">
      <c r="A7" s="871"/>
      <c r="B7" s="665" t="s">
        <v>482</v>
      </c>
      <c r="C7" s="683" t="s">
        <v>482</v>
      </c>
      <c r="D7" s="665" t="s">
        <v>482</v>
      </c>
      <c r="E7" s="665" t="s">
        <v>482</v>
      </c>
      <c r="F7" s="665" t="s">
        <v>482</v>
      </c>
      <c r="G7" s="665" t="s">
        <v>482</v>
      </c>
      <c r="H7" s="665" t="s">
        <v>482</v>
      </c>
      <c r="I7" s="665" t="s">
        <v>482</v>
      </c>
      <c r="J7" s="195" t="s">
        <v>482</v>
      </c>
    </row>
    <row r="8" spans="1:10" s="355" customFormat="1" ht="27.75" customHeight="1" thickBot="1" x14ac:dyDescent="0.25">
      <c r="A8" s="415" t="s">
        <v>348</v>
      </c>
      <c r="B8" s="669">
        <v>11000000</v>
      </c>
      <c r="C8" s="671"/>
      <c r="D8" s="670"/>
      <c r="E8" s="671">
        <v>3981000</v>
      </c>
      <c r="F8" s="670"/>
      <c r="G8" s="670">
        <v>27951155</v>
      </c>
      <c r="H8" s="670"/>
      <c r="I8" s="672">
        <v>2072000</v>
      </c>
      <c r="J8" s="663">
        <f>SUM(B8:I8)</f>
        <v>45004155</v>
      </c>
    </row>
    <row r="9" spans="1:10" ht="13.5" thickBot="1" x14ac:dyDescent="0.25">
      <c r="A9" s="358" t="s">
        <v>178</v>
      </c>
      <c r="B9" s="673"/>
      <c r="C9" s="302"/>
      <c r="D9" s="384"/>
      <c r="E9" s="302">
        <v>1524000</v>
      </c>
      <c r="F9" s="384"/>
      <c r="G9" s="302"/>
      <c r="H9" s="384"/>
      <c r="I9" s="674"/>
      <c r="J9" s="663">
        <f t="shared" ref="J9:J25" si="0">SUM(B9:I9)</f>
        <v>1524000</v>
      </c>
    </row>
    <row r="10" spans="1:10" ht="27.75" customHeight="1" thickBot="1" x14ac:dyDescent="0.25">
      <c r="A10" s="357" t="s">
        <v>171</v>
      </c>
      <c r="B10" s="675"/>
      <c r="C10" s="239">
        <v>18562500</v>
      </c>
      <c r="D10" s="239"/>
      <c r="E10" s="239">
        <v>53807294</v>
      </c>
      <c r="F10" s="239">
        <v>30000000</v>
      </c>
      <c r="G10" s="239"/>
      <c r="H10" s="239"/>
      <c r="I10" s="676">
        <v>82269887</v>
      </c>
      <c r="J10" s="663">
        <f t="shared" si="0"/>
        <v>184639681</v>
      </c>
    </row>
    <row r="11" spans="1:10" s="113" customFormat="1" ht="15.75" customHeight="1" thickBot="1" x14ac:dyDescent="0.25">
      <c r="A11" s="356" t="s">
        <v>173</v>
      </c>
      <c r="B11" s="675">
        <v>291871281</v>
      </c>
      <c r="C11" s="239"/>
      <c r="D11" s="239"/>
      <c r="E11" s="667"/>
      <c r="F11" s="239"/>
      <c r="G11" s="667"/>
      <c r="H11" s="667"/>
      <c r="I11" s="676">
        <v>11674851</v>
      </c>
      <c r="J11" s="663">
        <f t="shared" si="0"/>
        <v>303546132</v>
      </c>
    </row>
    <row r="12" spans="1:10" s="113" customFormat="1" ht="15.75" customHeight="1" thickBot="1" x14ac:dyDescent="0.25">
      <c r="A12" s="358" t="s">
        <v>528</v>
      </c>
      <c r="B12" s="675">
        <v>523875</v>
      </c>
      <c r="C12" s="239"/>
      <c r="D12" s="239"/>
      <c r="E12" s="667"/>
      <c r="F12" s="239"/>
      <c r="G12" s="667"/>
      <c r="H12" s="667"/>
      <c r="I12" s="676"/>
      <c r="J12" s="663">
        <f t="shared" si="0"/>
        <v>523875</v>
      </c>
    </row>
    <row r="13" spans="1:10" ht="13.5" thickBot="1" x14ac:dyDescent="0.25">
      <c r="A13" s="358" t="s">
        <v>177</v>
      </c>
      <c r="B13" s="673">
        <v>275076114</v>
      </c>
      <c r="C13" s="302">
        <v>67002639</v>
      </c>
      <c r="D13" s="384"/>
      <c r="E13" s="302">
        <v>21565000</v>
      </c>
      <c r="F13" s="384"/>
      <c r="G13" s="384"/>
      <c r="H13" s="384"/>
      <c r="I13" s="674">
        <v>60941372</v>
      </c>
      <c r="J13" s="663">
        <f t="shared" si="0"/>
        <v>424585125</v>
      </c>
    </row>
    <row r="14" spans="1:10" ht="15.75" customHeight="1" thickBot="1" x14ac:dyDescent="0.25">
      <c r="A14" s="357" t="s">
        <v>347</v>
      </c>
      <c r="B14" s="675"/>
      <c r="C14" s="239"/>
      <c r="D14" s="239"/>
      <c r="E14" s="239">
        <v>18115000</v>
      </c>
      <c r="F14" s="239"/>
      <c r="G14" s="239"/>
      <c r="H14" s="239"/>
      <c r="I14" s="676"/>
      <c r="J14" s="663">
        <f t="shared" si="0"/>
        <v>18115000</v>
      </c>
    </row>
    <row r="15" spans="1:10" ht="13.5" thickBot="1" x14ac:dyDescent="0.25">
      <c r="A15" s="356" t="s">
        <v>421</v>
      </c>
      <c r="B15" s="675"/>
      <c r="C15" s="239">
        <v>50456924</v>
      </c>
      <c r="D15" s="239"/>
      <c r="E15" s="239"/>
      <c r="F15" s="239"/>
      <c r="G15" s="239"/>
      <c r="H15" s="239"/>
      <c r="I15" s="676"/>
      <c r="J15" s="663">
        <f t="shared" si="0"/>
        <v>50456924</v>
      </c>
    </row>
    <row r="16" spans="1:10" ht="13.5" thickBot="1" x14ac:dyDescent="0.25">
      <c r="A16" s="356" t="s">
        <v>529</v>
      </c>
      <c r="B16" s="675"/>
      <c r="C16" s="239">
        <v>3035882</v>
      </c>
      <c r="D16" s="239"/>
      <c r="E16" s="239"/>
      <c r="F16" s="239"/>
      <c r="G16" s="239"/>
      <c r="H16" s="239"/>
      <c r="I16" s="676">
        <v>2431298</v>
      </c>
      <c r="J16" s="663">
        <f t="shared" si="0"/>
        <v>5467180</v>
      </c>
    </row>
    <row r="17" spans="1:10" ht="13.5" thickBot="1" x14ac:dyDescent="0.25">
      <c r="A17" s="356" t="s">
        <v>530</v>
      </c>
      <c r="B17" s="675">
        <v>994500</v>
      </c>
      <c r="C17" s="239">
        <v>9947909</v>
      </c>
      <c r="D17" s="239"/>
      <c r="E17" s="239">
        <v>352350</v>
      </c>
      <c r="F17" s="239"/>
      <c r="G17" s="239"/>
      <c r="H17" s="239"/>
      <c r="I17" s="676"/>
      <c r="J17" s="663">
        <f t="shared" si="0"/>
        <v>11294759</v>
      </c>
    </row>
    <row r="18" spans="1:10" ht="18" customHeight="1" thickBot="1" x14ac:dyDescent="0.25">
      <c r="A18" s="357" t="s">
        <v>356</v>
      </c>
      <c r="B18" s="675">
        <v>55800042</v>
      </c>
      <c r="C18" s="239">
        <v>94035364</v>
      </c>
      <c r="D18" s="239"/>
      <c r="E18" s="239"/>
      <c r="F18" s="239"/>
      <c r="G18" s="239"/>
      <c r="H18" s="239"/>
      <c r="I18" s="676"/>
      <c r="J18" s="663">
        <f t="shared" si="0"/>
        <v>149835406</v>
      </c>
    </row>
    <row r="19" spans="1:10" ht="18" customHeight="1" thickBot="1" x14ac:dyDescent="0.25">
      <c r="A19" s="357" t="s">
        <v>531</v>
      </c>
      <c r="B19" s="675">
        <v>85000</v>
      </c>
      <c r="C19" s="239">
        <v>25558088</v>
      </c>
      <c r="D19" s="239"/>
      <c r="E19" s="239"/>
      <c r="F19" s="239"/>
      <c r="G19" s="239"/>
      <c r="H19" s="239"/>
      <c r="I19" s="676"/>
      <c r="J19" s="663">
        <f t="shared" si="0"/>
        <v>25643088</v>
      </c>
    </row>
    <row r="20" spans="1:10" ht="13.5" thickBot="1" x14ac:dyDescent="0.25">
      <c r="A20" s="356" t="s">
        <v>172</v>
      </c>
      <c r="B20" s="675">
        <v>320000</v>
      </c>
      <c r="C20" s="239"/>
      <c r="D20" s="239"/>
      <c r="E20" s="239">
        <v>32000</v>
      </c>
      <c r="F20" s="239"/>
      <c r="G20" s="239"/>
      <c r="H20" s="239"/>
      <c r="I20" s="676"/>
      <c r="J20" s="663">
        <f t="shared" si="0"/>
        <v>352000</v>
      </c>
    </row>
    <row r="21" spans="1:10" ht="13.5" thickBot="1" x14ac:dyDescent="0.25">
      <c r="A21" s="358" t="s">
        <v>206</v>
      </c>
      <c r="B21" s="675"/>
      <c r="C21" s="239"/>
      <c r="D21" s="239"/>
      <c r="E21" s="239">
        <v>2310000</v>
      </c>
      <c r="F21" s="239"/>
      <c r="G21" s="239"/>
      <c r="H21" s="239"/>
      <c r="I21" s="676"/>
      <c r="J21" s="663">
        <f t="shared" si="0"/>
        <v>2310000</v>
      </c>
    </row>
    <row r="22" spans="1:10" ht="13.5" thickBot="1" x14ac:dyDescent="0.25">
      <c r="A22" s="358" t="s">
        <v>532</v>
      </c>
      <c r="B22" s="673"/>
      <c r="C22" s="302"/>
      <c r="D22" s="384"/>
      <c r="E22" s="302"/>
      <c r="F22" s="384"/>
      <c r="G22" s="302">
        <v>3000000</v>
      </c>
      <c r="H22" s="384"/>
      <c r="I22" s="674"/>
      <c r="J22" s="663">
        <f t="shared" si="0"/>
        <v>3000000</v>
      </c>
    </row>
    <row r="23" spans="1:10" ht="26.25" thickBot="1" x14ac:dyDescent="0.25">
      <c r="A23" s="699" t="s">
        <v>446</v>
      </c>
      <c r="B23" s="673">
        <v>8032042</v>
      </c>
      <c r="C23" s="302">
        <v>5461456</v>
      </c>
      <c r="D23" s="384"/>
      <c r="E23" s="302"/>
      <c r="F23" s="384"/>
      <c r="G23" s="302"/>
      <c r="H23" s="384"/>
      <c r="I23" s="674">
        <v>28345615</v>
      </c>
      <c r="J23" s="663">
        <f>SUM(B23:I23)</f>
        <v>41839113</v>
      </c>
    </row>
    <row r="24" spans="1:10" ht="30" customHeight="1" thickBot="1" x14ac:dyDescent="0.25">
      <c r="A24" s="357" t="s">
        <v>174</v>
      </c>
      <c r="B24" s="675"/>
      <c r="C24" s="239"/>
      <c r="D24" s="239">
        <v>75522000</v>
      </c>
      <c r="E24" s="239"/>
      <c r="F24" s="239"/>
      <c r="G24" s="239"/>
      <c r="H24" s="239"/>
      <c r="I24" s="676"/>
      <c r="J24" s="663">
        <f t="shared" si="0"/>
        <v>75522000</v>
      </c>
    </row>
    <row r="25" spans="1:10" ht="13.5" thickBot="1" x14ac:dyDescent="0.25">
      <c r="A25" s="356" t="s">
        <v>175</v>
      </c>
      <c r="B25" s="679"/>
      <c r="C25" s="306"/>
      <c r="D25" s="680"/>
      <c r="E25" s="306"/>
      <c r="F25" s="680"/>
      <c r="G25" s="306"/>
      <c r="H25" s="680"/>
      <c r="I25" s="681">
        <v>50000000</v>
      </c>
      <c r="J25" s="663">
        <f t="shared" si="0"/>
        <v>50000000</v>
      </c>
    </row>
    <row r="26" spans="1:10" s="198" customFormat="1" ht="13.5" thickBot="1" x14ac:dyDescent="0.25">
      <c r="A26" s="359" t="s">
        <v>30</v>
      </c>
      <c r="B26" s="666">
        <f>SUM(B8:B25)</f>
        <v>643702854</v>
      </c>
      <c r="C26" s="666">
        <f t="shared" ref="C26:J26" si="1">SUM(C8:C25)</f>
        <v>274060762</v>
      </c>
      <c r="D26" s="666">
        <f t="shared" si="1"/>
        <v>75522000</v>
      </c>
      <c r="E26" s="666">
        <f t="shared" si="1"/>
        <v>101686644</v>
      </c>
      <c r="F26" s="666">
        <f t="shared" si="1"/>
        <v>30000000</v>
      </c>
      <c r="G26" s="666">
        <f t="shared" si="1"/>
        <v>30951155</v>
      </c>
      <c r="H26" s="666">
        <f t="shared" si="1"/>
        <v>0</v>
      </c>
      <c r="I26" s="666">
        <f t="shared" si="1"/>
        <v>237735023</v>
      </c>
      <c r="J26" s="593">
        <f t="shared" si="1"/>
        <v>1393658438</v>
      </c>
    </row>
  </sheetData>
  <mergeCells count="2">
    <mergeCell ref="A1:J2"/>
    <mergeCell ref="A6:A7"/>
  </mergeCells>
  <pageMargins left="0.75" right="0.75" top="1" bottom="1" header="0.5" footer="0.5"/>
  <pageSetup paperSize="9" scale="62" orientation="landscape" r:id="rId1"/>
  <headerFooter alignWithMargins="0">
    <oddHeader>&amp;R2/1.sz. melléklete
...../2021. (II.15.) Egyek Önk.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Normal="100" workbookViewId="0">
      <selection activeCell="B9" sqref="B9"/>
    </sheetView>
  </sheetViews>
  <sheetFormatPr defaultRowHeight="12.75" x14ac:dyDescent="0.2"/>
  <cols>
    <col min="1" max="1" width="60.140625" customWidth="1"/>
    <col min="2" max="2" width="17" customWidth="1"/>
    <col min="3" max="3" width="18.5703125" customWidth="1"/>
    <col min="4" max="4" width="16.42578125" customWidth="1"/>
    <col min="5" max="6" width="16.140625" customWidth="1"/>
    <col min="7" max="7" width="15.5703125" customWidth="1"/>
    <col min="8" max="9" width="17.42578125" customWidth="1"/>
    <col min="10" max="10" width="17.85546875" customWidth="1"/>
  </cols>
  <sheetData>
    <row r="1" spans="1:10" ht="15.75" customHeight="1" x14ac:dyDescent="0.2">
      <c r="A1" s="869" t="s">
        <v>485</v>
      </c>
      <c r="B1" s="869"/>
      <c r="C1" s="869"/>
      <c r="D1" s="869"/>
      <c r="E1" s="869"/>
      <c r="F1" s="869"/>
      <c r="G1" s="869"/>
      <c r="H1" s="869"/>
      <c r="I1" s="869"/>
      <c r="J1" s="869"/>
    </row>
    <row r="2" spans="1:10" x14ac:dyDescent="0.2">
      <c r="A2" s="869"/>
      <c r="B2" s="869"/>
      <c r="C2" s="869"/>
      <c r="D2" s="869"/>
      <c r="E2" s="869"/>
      <c r="F2" s="869"/>
      <c r="G2" s="869"/>
      <c r="H2" s="869"/>
      <c r="I2" s="869"/>
      <c r="J2" s="869"/>
    </row>
    <row r="5" spans="1:10" ht="13.5" thickBot="1" x14ac:dyDescent="0.25"/>
    <row r="6" spans="1:10" ht="86.25" customHeight="1" thickBot="1" x14ac:dyDescent="0.25">
      <c r="A6" s="870" t="s">
        <v>169</v>
      </c>
      <c r="B6" s="591" t="s">
        <v>148</v>
      </c>
      <c r="C6" s="682" t="s">
        <v>154</v>
      </c>
      <c r="D6" s="591" t="s">
        <v>167</v>
      </c>
      <c r="E6" s="591" t="s">
        <v>146</v>
      </c>
      <c r="F6" s="591" t="s">
        <v>168</v>
      </c>
      <c r="G6" s="591" t="s">
        <v>165</v>
      </c>
      <c r="H6" s="591" t="s">
        <v>156</v>
      </c>
      <c r="I6" s="591" t="s">
        <v>163</v>
      </c>
      <c r="J6" s="592" t="s">
        <v>30</v>
      </c>
    </row>
    <row r="7" spans="1:10" ht="25.5" customHeight="1" thickBot="1" x14ac:dyDescent="0.25">
      <c r="A7" s="871"/>
      <c r="B7" s="665" t="s">
        <v>482</v>
      </c>
      <c r="C7" s="683" t="s">
        <v>482</v>
      </c>
      <c r="D7" s="665" t="s">
        <v>482</v>
      </c>
      <c r="E7" s="665" t="s">
        <v>482</v>
      </c>
      <c r="F7" s="665" t="s">
        <v>482</v>
      </c>
      <c r="G7" s="665" t="s">
        <v>482</v>
      </c>
      <c r="H7" s="665" t="s">
        <v>482</v>
      </c>
      <c r="I7" s="665" t="s">
        <v>482</v>
      </c>
      <c r="J7" s="195" t="s">
        <v>482</v>
      </c>
    </row>
    <row r="8" spans="1:10" s="94" customFormat="1" ht="13.5" thickBot="1" x14ac:dyDescent="0.25">
      <c r="A8" s="726" t="s">
        <v>172</v>
      </c>
      <c r="B8" s="677">
        <v>1460000</v>
      </c>
      <c r="C8" s="668"/>
      <c r="D8" s="668"/>
      <c r="E8" s="668"/>
      <c r="F8" s="668"/>
      <c r="G8" s="668"/>
      <c r="H8" s="668"/>
      <c r="I8" s="678"/>
      <c r="J8" s="664">
        <f t="shared" ref="J8:J10" si="0">SUM(B8:I8)</f>
        <v>1460000</v>
      </c>
    </row>
    <row r="9" spans="1:10" s="94" customFormat="1" ht="13.5" thickBot="1" x14ac:dyDescent="0.25">
      <c r="A9" s="358" t="s">
        <v>422</v>
      </c>
      <c r="B9" s="675">
        <v>14400000</v>
      </c>
      <c r="C9" s="239"/>
      <c r="D9" s="239"/>
      <c r="E9" s="239">
        <v>924000</v>
      </c>
      <c r="F9" s="239"/>
      <c r="G9" s="239"/>
      <c r="H9" s="239"/>
      <c r="I9" s="676"/>
      <c r="J9" s="663">
        <f t="shared" si="0"/>
        <v>15324000</v>
      </c>
    </row>
    <row r="10" spans="1:10" s="94" customFormat="1" ht="13.5" thickBot="1" x14ac:dyDescent="0.25">
      <c r="A10" s="358" t="s">
        <v>176</v>
      </c>
      <c r="B10" s="673"/>
      <c r="C10" s="302"/>
      <c r="D10" s="384"/>
      <c r="E10" s="302">
        <v>5500</v>
      </c>
      <c r="F10" s="384"/>
      <c r="G10" s="384"/>
      <c r="H10" s="384"/>
      <c r="I10" s="674"/>
      <c r="J10" s="663">
        <f t="shared" si="0"/>
        <v>5500</v>
      </c>
    </row>
    <row r="11" spans="1:10" s="600" customFormat="1" ht="13.5" thickBot="1" x14ac:dyDescent="0.25">
      <c r="A11" s="727" t="s">
        <v>30</v>
      </c>
      <c r="B11" s="684">
        <f t="shared" ref="B11:J11" si="1">SUM(B8:B10)</f>
        <v>15860000</v>
      </c>
      <c r="C11" s="728">
        <f t="shared" si="1"/>
        <v>0</v>
      </c>
      <c r="D11" s="684">
        <f t="shared" si="1"/>
        <v>0</v>
      </c>
      <c r="E11" s="684">
        <f t="shared" si="1"/>
        <v>929500</v>
      </c>
      <c r="F11" s="684">
        <f t="shared" si="1"/>
        <v>0</v>
      </c>
      <c r="G11" s="684">
        <f t="shared" si="1"/>
        <v>0</v>
      </c>
      <c r="H11" s="684">
        <f t="shared" si="1"/>
        <v>0</v>
      </c>
      <c r="I11" s="684">
        <f t="shared" si="1"/>
        <v>0</v>
      </c>
      <c r="J11" s="729">
        <f t="shared" si="1"/>
        <v>16789500</v>
      </c>
    </row>
  </sheetData>
  <mergeCells count="2">
    <mergeCell ref="A1:J2"/>
    <mergeCell ref="A6:A7"/>
  </mergeCells>
  <pageMargins left="0.7" right="0.7" top="0.75" bottom="0.75" header="0.3" footer="0.3"/>
  <pageSetup paperSize="9" scale="63" orientation="landscape" r:id="rId1"/>
  <headerFooter>
    <oddHeader xml:space="preserve">&amp;R 2/1. sz. melléklet
..../2021.(II.15.) Egyek Önk.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Normal="100" workbookViewId="0">
      <selection activeCell="E9" sqref="E9"/>
    </sheetView>
  </sheetViews>
  <sheetFormatPr defaultRowHeight="12.75" x14ac:dyDescent="0.2"/>
  <cols>
    <col min="1" max="1" width="49.28515625" customWidth="1"/>
    <col min="2" max="3" width="20.28515625" customWidth="1"/>
    <col min="4" max="4" width="15.5703125" customWidth="1"/>
    <col min="5" max="5" width="12.28515625" customWidth="1"/>
    <col min="6" max="6" width="13.5703125" customWidth="1"/>
    <col min="7" max="7" width="15.140625" customWidth="1"/>
    <col min="8" max="8" width="17" customWidth="1"/>
    <col min="9" max="9" width="15.5703125" customWidth="1"/>
    <col min="10" max="10" width="13.28515625" customWidth="1"/>
  </cols>
  <sheetData>
    <row r="1" spans="1:10" ht="15.75" customHeight="1" x14ac:dyDescent="0.2">
      <c r="A1" s="869" t="s">
        <v>486</v>
      </c>
      <c r="B1" s="869"/>
      <c r="C1" s="869"/>
      <c r="D1" s="869"/>
      <c r="E1" s="869"/>
      <c r="F1" s="869"/>
      <c r="G1" s="869"/>
      <c r="H1" s="869"/>
      <c r="I1" s="869"/>
      <c r="J1" s="869"/>
    </row>
    <row r="2" spans="1:10" ht="15.75" customHeight="1" x14ac:dyDescent="0.2">
      <c r="A2" s="869"/>
      <c r="B2" s="869"/>
      <c r="C2" s="869"/>
      <c r="D2" s="869"/>
      <c r="E2" s="869"/>
      <c r="F2" s="869"/>
      <c r="G2" s="869"/>
      <c r="H2" s="869"/>
      <c r="I2" s="869"/>
      <c r="J2" s="869"/>
    </row>
    <row r="5" spans="1:10" ht="13.5" thickBot="1" x14ac:dyDescent="0.25"/>
    <row r="6" spans="1:10" ht="51.75" thickBot="1" x14ac:dyDescent="0.25">
      <c r="A6" s="870" t="s">
        <v>169</v>
      </c>
      <c r="B6" s="156" t="s">
        <v>148</v>
      </c>
      <c r="C6" s="156" t="s">
        <v>154</v>
      </c>
      <c r="D6" s="156" t="s">
        <v>167</v>
      </c>
      <c r="E6" s="156" t="s">
        <v>146</v>
      </c>
      <c r="F6" s="156" t="s">
        <v>168</v>
      </c>
      <c r="G6" s="156" t="s">
        <v>165</v>
      </c>
      <c r="H6" s="156" t="s">
        <v>156</v>
      </c>
      <c r="I6" s="156" t="s">
        <v>163</v>
      </c>
      <c r="J6" s="157" t="s">
        <v>30</v>
      </c>
    </row>
    <row r="7" spans="1:10" ht="13.5" thickBot="1" x14ac:dyDescent="0.25">
      <c r="A7" s="872"/>
      <c r="B7" s="195" t="s">
        <v>482</v>
      </c>
      <c r="C7" s="195" t="s">
        <v>482</v>
      </c>
      <c r="D7" s="195" t="s">
        <v>482</v>
      </c>
      <c r="E7" s="195" t="s">
        <v>482</v>
      </c>
      <c r="F7" s="195" t="s">
        <v>482</v>
      </c>
      <c r="G7" s="195" t="s">
        <v>482</v>
      </c>
      <c r="H7" s="195" t="s">
        <v>482</v>
      </c>
      <c r="I7" s="195" t="s">
        <v>482</v>
      </c>
      <c r="J7" s="195" t="s">
        <v>482</v>
      </c>
    </row>
    <row r="8" spans="1:10" ht="31.5" customHeight="1" thickBot="1" x14ac:dyDescent="0.25">
      <c r="A8" s="407" t="s">
        <v>179</v>
      </c>
      <c r="B8" s="521"/>
      <c r="C8" s="521"/>
      <c r="D8" s="521"/>
      <c r="E8" s="521">
        <v>213500</v>
      </c>
      <c r="F8" s="521"/>
      <c r="G8" s="521"/>
      <c r="H8" s="521"/>
      <c r="I8" s="523"/>
      <c r="J8" s="525">
        <f>SUM(B8:I8)</f>
        <v>213500</v>
      </c>
    </row>
    <row r="9" spans="1:10" ht="23.25" customHeight="1" thickBot="1" x14ac:dyDescent="0.25">
      <c r="A9" s="518" t="s">
        <v>180</v>
      </c>
      <c r="B9" s="519">
        <v>0</v>
      </c>
      <c r="C9" s="519">
        <v>0</v>
      </c>
      <c r="D9" s="519">
        <v>0</v>
      </c>
      <c r="E9" s="519">
        <v>0</v>
      </c>
      <c r="F9" s="519">
        <v>0</v>
      </c>
      <c r="G9" s="519">
        <v>0</v>
      </c>
      <c r="H9" s="519">
        <v>0</v>
      </c>
      <c r="I9" s="524">
        <v>0</v>
      </c>
      <c r="J9" s="110">
        <f>SUM(B9:I9)</f>
        <v>0</v>
      </c>
    </row>
    <row r="10" spans="1:10" ht="32.25" customHeight="1" thickBot="1" x14ac:dyDescent="0.25">
      <c r="A10" s="520" t="s">
        <v>30</v>
      </c>
      <c r="B10" s="522">
        <f t="shared" ref="B10:I10" si="0">SUM(B8:B9)</f>
        <v>0</v>
      </c>
      <c r="C10" s="197">
        <f t="shared" si="0"/>
        <v>0</v>
      </c>
      <c r="D10" s="196">
        <f t="shared" si="0"/>
        <v>0</v>
      </c>
      <c r="E10" s="197">
        <f t="shared" si="0"/>
        <v>213500</v>
      </c>
      <c r="F10" s="196">
        <f t="shared" si="0"/>
        <v>0</v>
      </c>
      <c r="G10" s="197">
        <f t="shared" si="0"/>
        <v>0</v>
      </c>
      <c r="H10" s="197">
        <f t="shared" si="0"/>
        <v>0</v>
      </c>
      <c r="I10" s="196">
        <f t="shared" si="0"/>
        <v>0</v>
      </c>
      <c r="J10" s="110">
        <f>SUM(B10:I10)</f>
        <v>213500</v>
      </c>
    </row>
  </sheetData>
  <mergeCells count="2">
    <mergeCell ref="A6:A7"/>
    <mergeCell ref="A1:J2"/>
  </mergeCells>
  <phoneticPr fontId="39" type="noConversion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scaleWithDoc="0" alignWithMargins="0">
    <oddHeader>&amp;R2.2.sz. melléklete
...../2021.(II.15.) Egyek Önk.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Normal="100" workbookViewId="0">
      <selection activeCell="E9" sqref="E9"/>
    </sheetView>
  </sheetViews>
  <sheetFormatPr defaultRowHeight="12.75" x14ac:dyDescent="0.2"/>
  <cols>
    <col min="1" max="1" width="49.28515625" customWidth="1"/>
    <col min="2" max="3" width="20.28515625" customWidth="1"/>
    <col min="4" max="4" width="15.5703125" customWidth="1"/>
    <col min="5" max="5" width="12.28515625" customWidth="1"/>
    <col min="6" max="6" width="13.5703125" customWidth="1"/>
    <col min="7" max="7" width="15.140625" customWidth="1"/>
    <col min="8" max="8" width="17" customWidth="1"/>
    <col min="9" max="9" width="15.5703125" customWidth="1"/>
    <col min="10" max="10" width="13.28515625" customWidth="1"/>
  </cols>
  <sheetData>
    <row r="1" spans="1:10" ht="15.75" customHeight="1" x14ac:dyDescent="0.2">
      <c r="A1" s="869" t="s">
        <v>487</v>
      </c>
      <c r="B1" s="869"/>
      <c r="C1" s="869"/>
      <c r="D1" s="869"/>
      <c r="E1" s="869"/>
      <c r="F1" s="869"/>
      <c r="G1" s="869"/>
      <c r="H1" s="869"/>
      <c r="I1" s="869"/>
      <c r="J1" s="869"/>
    </row>
    <row r="2" spans="1:10" ht="15.75" customHeight="1" x14ac:dyDescent="0.2">
      <c r="A2" s="869"/>
      <c r="B2" s="869"/>
      <c r="C2" s="869"/>
      <c r="D2" s="869"/>
      <c r="E2" s="869"/>
      <c r="F2" s="869"/>
      <c r="G2" s="869"/>
      <c r="H2" s="869"/>
      <c r="I2" s="869"/>
      <c r="J2" s="869"/>
    </row>
    <row r="5" spans="1:10" ht="13.5" thickBot="1" x14ac:dyDescent="0.25"/>
    <row r="6" spans="1:10" ht="51.75" thickBot="1" x14ac:dyDescent="0.25">
      <c r="A6" s="870" t="s">
        <v>169</v>
      </c>
      <c r="B6" s="156" t="s">
        <v>148</v>
      </c>
      <c r="C6" s="156" t="s">
        <v>154</v>
      </c>
      <c r="D6" s="156" t="s">
        <v>167</v>
      </c>
      <c r="E6" s="156" t="s">
        <v>146</v>
      </c>
      <c r="F6" s="156" t="s">
        <v>168</v>
      </c>
      <c r="G6" s="156" t="s">
        <v>165</v>
      </c>
      <c r="H6" s="156" t="s">
        <v>156</v>
      </c>
      <c r="I6" s="156" t="s">
        <v>163</v>
      </c>
      <c r="J6" s="157" t="s">
        <v>30</v>
      </c>
    </row>
    <row r="7" spans="1:10" ht="13.5" thickBot="1" x14ac:dyDescent="0.25">
      <c r="A7" s="872"/>
      <c r="B7" s="195" t="s">
        <v>482</v>
      </c>
      <c r="C7" s="195" t="s">
        <v>482</v>
      </c>
      <c r="D7" s="195" t="s">
        <v>482</v>
      </c>
      <c r="E7" s="195" t="s">
        <v>482</v>
      </c>
      <c r="F7" s="195" t="s">
        <v>482</v>
      </c>
      <c r="G7" s="195" t="s">
        <v>482</v>
      </c>
      <c r="H7" s="195" t="s">
        <v>482</v>
      </c>
      <c r="I7" s="195" t="s">
        <v>482</v>
      </c>
      <c r="J7" s="195" t="s">
        <v>482</v>
      </c>
    </row>
    <row r="8" spans="1:10" ht="31.5" customHeight="1" thickBot="1" x14ac:dyDescent="0.25">
      <c r="A8" s="407" t="s">
        <v>179</v>
      </c>
      <c r="B8" s="521"/>
      <c r="C8" s="521"/>
      <c r="D8" s="521"/>
      <c r="E8" s="521">
        <v>213500</v>
      </c>
      <c r="F8" s="521"/>
      <c r="G8" s="521"/>
      <c r="H8" s="521"/>
      <c r="I8" s="523"/>
      <c r="J8" s="525">
        <f>SUM(B8:I8)</f>
        <v>213500</v>
      </c>
    </row>
    <row r="9" spans="1:10" ht="23.25" customHeight="1" thickBot="1" x14ac:dyDescent="0.25">
      <c r="A9" s="518" t="s">
        <v>180</v>
      </c>
      <c r="B9" s="519">
        <v>0</v>
      </c>
      <c r="C9" s="519">
        <v>0</v>
      </c>
      <c r="D9" s="519">
        <v>0</v>
      </c>
      <c r="E9" s="519">
        <v>0</v>
      </c>
      <c r="F9" s="519">
        <v>0</v>
      </c>
      <c r="G9" s="519">
        <v>0</v>
      </c>
      <c r="H9" s="519">
        <v>0</v>
      </c>
      <c r="I9" s="524">
        <v>0</v>
      </c>
      <c r="J9" s="110">
        <f>SUM(B9:I9)</f>
        <v>0</v>
      </c>
    </row>
    <row r="10" spans="1:10" ht="32.25" customHeight="1" thickBot="1" x14ac:dyDescent="0.25">
      <c r="A10" s="520" t="s">
        <v>30</v>
      </c>
      <c r="B10" s="522">
        <f t="shared" ref="B10:I10" si="0">SUM(B8:B9)</f>
        <v>0</v>
      </c>
      <c r="C10" s="197">
        <f t="shared" si="0"/>
        <v>0</v>
      </c>
      <c r="D10" s="196">
        <f t="shared" si="0"/>
        <v>0</v>
      </c>
      <c r="E10" s="197">
        <f t="shared" si="0"/>
        <v>213500</v>
      </c>
      <c r="F10" s="196">
        <f t="shared" si="0"/>
        <v>0</v>
      </c>
      <c r="G10" s="197">
        <f t="shared" si="0"/>
        <v>0</v>
      </c>
      <c r="H10" s="197">
        <f t="shared" si="0"/>
        <v>0</v>
      </c>
      <c r="I10" s="196">
        <f t="shared" si="0"/>
        <v>0</v>
      </c>
      <c r="J10" s="110">
        <f>SUM(B10:I10)</f>
        <v>213500</v>
      </c>
    </row>
  </sheetData>
  <mergeCells count="2">
    <mergeCell ref="A1:J2"/>
    <mergeCell ref="A6:A7"/>
  </mergeCells>
  <pageMargins left="0.74803149606299213" right="0.74803149606299213" top="0.98425196850393704" bottom="0.98425196850393704" header="0.51181102362204722" footer="0.51181102362204722"/>
  <pageSetup paperSize="9" scale="60" orientation="landscape" r:id="rId1"/>
  <headerFooter scaleWithDoc="0" alignWithMargins="0">
    <oddHeader>&amp;R2.2.sz. melléklete
...../2021.(II.15.) Egyek Önk.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Normal="100" workbookViewId="0">
      <selection activeCell="E10" sqref="E10"/>
    </sheetView>
  </sheetViews>
  <sheetFormatPr defaultRowHeight="12.75" x14ac:dyDescent="0.2"/>
  <cols>
    <col min="1" max="1" width="59.42578125" customWidth="1"/>
    <col min="2" max="3" width="17.42578125" customWidth="1"/>
    <col min="4" max="4" width="19.7109375" customWidth="1"/>
    <col min="5" max="5" width="17.85546875" customWidth="1"/>
    <col min="6" max="6" width="14.5703125" customWidth="1"/>
    <col min="7" max="7" width="15.28515625" customWidth="1"/>
    <col min="8" max="8" width="15.42578125" customWidth="1"/>
    <col min="9" max="9" width="13.28515625" customWidth="1"/>
    <col min="10" max="10" width="17.5703125" customWidth="1"/>
  </cols>
  <sheetData>
    <row r="1" spans="1:10" ht="15.75" customHeight="1" x14ac:dyDescent="0.2">
      <c r="A1" s="869" t="s">
        <v>488</v>
      </c>
      <c r="B1" s="869"/>
      <c r="C1" s="869"/>
      <c r="D1" s="869"/>
      <c r="E1" s="869"/>
      <c r="F1" s="869"/>
      <c r="G1" s="869"/>
      <c r="H1" s="869"/>
      <c r="I1" s="869"/>
      <c r="J1" s="869"/>
    </row>
    <row r="2" spans="1:10" ht="12.75" customHeight="1" x14ac:dyDescent="0.2">
      <c r="A2" s="869"/>
      <c r="B2" s="869"/>
      <c r="C2" s="869"/>
      <c r="D2" s="869"/>
      <c r="E2" s="869"/>
      <c r="F2" s="869"/>
      <c r="G2" s="869"/>
      <c r="H2" s="869"/>
      <c r="I2" s="869"/>
      <c r="J2" s="869"/>
    </row>
    <row r="5" spans="1:10" ht="13.5" thickBot="1" x14ac:dyDescent="0.25"/>
    <row r="6" spans="1:10" ht="51.75" thickBot="1" x14ac:dyDescent="0.25">
      <c r="A6" s="870" t="s">
        <v>169</v>
      </c>
      <c r="B6" s="156" t="s">
        <v>148</v>
      </c>
      <c r="C6" s="156" t="s">
        <v>154</v>
      </c>
      <c r="D6" s="156" t="s">
        <v>167</v>
      </c>
      <c r="E6" s="156" t="s">
        <v>146</v>
      </c>
      <c r="F6" s="156" t="s">
        <v>168</v>
      </c>
      <c r="G6" s="156" t="s">
        <v>165</v>
      </c>
      <c r="H6" s="156" t="s">
        <v>156</v>
      </c>
      <c r="I6" s="156" t="s">
        <v>163</v>
      </c>
      <c r="J6" s="157" t="s">
        <v>30</v>
      </c>
    </row>
    <row r="7" spans="1:10" ht="13.5" thickBot="1" x14ac:dyDescent="0.25">
      <c r="A7" s="871"/>
      <c r="B7" s="195" t="s">
        <v>482</v>
      </c>
      <c r="C7" s="195" t="s">
        <v>482</v>
      </c>
      <c r="D7" s="195" t="s">
        <v>482</v>
      </c>
      <c r="E7" s="195" t="s">
        <v>482</v>
      </c>
      <c r="F7" s="195" t="s">
        <v>482</v>
      </c>
      <c r="G7" s="195" t="s">
        <v>482</v>
      </c>
      <c r="H7" s="195" t="s">
        <v>482</v>
      </c>
      <c r="I7" s="195" t="s">
        <v>482</v>
      </c>
      <c r="J7" s="195" t="s">
        <v>482</v>
      </c>
    </row>
    <row r="8" spans="1:10" x14ac:dyDescent="0.2">
      <c r="A8" s="526" t="s">
        <v>181</v>
      </c>
      <c r="B8" s="239">
        <v>0</v>
      </c>
      <c r="C8" s="239">
        <v>0</v>
      </c>
      <c r="D8" s="239">
        <v>0</v>
      </c>
      <c r="E8" s="240">
        <f>SUM(B8:D8)</f>
        <v>0</v>
      </c>
      <c r="F8" s="414">
        <v>0</v>
      </c>
      <c r="G8" s="414">
        <v>0</v>
      </c>
      <c r="H8" s="414">
        <v>0</v>
      </c>
      <c r="I8" s="532">
        <v>0</v>
      </c>
      <c r="J8" s="535">
        <f>SUM(B8:I8)</f>
        <v>0</v>
      </c>
    </row>
    <row r="9" spans="1:10" x14ac:dyDescent="0.2">
      <c r="A9" s="238" t="s">
        <v>182</v>
      </c>
      <c r="B9" s="239">
        <v>0</v>
      </c>
      <c r="C9" s="239">
        <v>0</v>
      </c>
      <c r="D9" s="239">
        <v>0</v>
      </c>
      <c r="E9" s="241">
        <v>713000</v>
      </c>
      <c r="F9" s="414">
        <v>0</v>
      </c>
      <c r="G9" s="414">
        <v>0</v>
      </c>
      <c r="H9" s="414">
        <v>0</v>
      </c>
      <c r="I9" s="532">
        <v>0</v>
      </c>
      <c r="J9" s="535">
        <f>SUM(B9:I9)</f>
        <v>713000</v>
      </c>
    </row>
    <row r="10" spans="1:10" x14ac:dyDescent="0.2">
      <c r="A10" s="238" t="s">
        <v>183</v>
      </c>
      <c r="B10" s="239">
        <v>0</v>
      </c>
      <c r="C10" s="239">
        <v>0</v>
      </c>
      <c r="D10" s="239">
        <v>0</v>
      </c>
      <c r="E10" s="240">
        <v>0</v>
      </c>
      <c r="F10" s="414">
        <v>0</v>
      </c>
      <c r="G10" s="414">
        <v>0</v>
      </c>
      <c r="H10" s="414">
        <v>0</v>
      </c>
      <c r="I10" s="532">
        <v>0</v>
      </c>
      <c r="J10" s="535">
        <f>SUM(B10:I10)</f>
        <v>0</v>
      </c>
    </row>
    <row r="11" spans="1:10" ht="13.5" thickBot="1" x14ac:dyDescent="0.25">
      <c r="A11" s="527" t="s">
        <v>184</v>
      </c>
      <c r="B11" s="519">
        <v>0</v>
      </c>
      <c r="C11" s="519">
        <v>0</v>
      </c>
      <c r="D11" s="519">
        <v>0</v>
      </c>
      <c r="E11" s="528">
        <f>SUM(B11:D11)</f>
        <v>0</v>
      </c>
      <c r="F11" s="529">
        <v>0</v>
      </c>
      <c r="G11" s="529">
        <v>0</v>
      </c>
      <c r="H11" s="529">
        <v>0</v>
      </c>
      <c r="I11" s="533"/>
      <c r="J11" s="536">
        <f>SUM(B11:I11)</f>
        <v>0</v>
      </c>
    </row>
    <row r="12" spans="1:10" s="113" customFormat="1" ht="13.5" thickBot="1" x14ac:dyDescent="0.25">
      <c r="A12" s="530" t="s">
        <v>110</v>
      </c>
      <c r="B12" s="531">
        <f>SUM(B8:B9)</f>
        <v>0</v>
      </c>
      <c r="C12" s="531">
        <f>SUM(C8:C9)</f>
        <v>0</v>
      </c>
      <c r="D12" s="531">
        <f t="shared" ref="D12:I12" si="0">SUM(D8:D11)</f>
        <v>0</v>
      </c>
      <c r="E12" s="531">
        <f t="shared" si="0"/>
        <v>713000</v>
      </c>
      <c r="F12" s="531">
        <f t="shared" si="0"/>
        <v>0</v>
      </c>
      <c r="G12" s="531">
        <f t="shared" si="0"/>
        <v>0</v>
      </c>
      <c r="H12" s="531">
        <f t="shared" si="0"/>
        <v>0</v>
      </c>
      <c r="I12" s="534">
        <f t="shared" si="0"/>
        <v>0</v>
      </c>
      <c r="J12" s="537">
        <f>SUM(B12:I12)</f>
        <v>713000</v>
      </c>
    </row>
  </sheetData>
  <mergeCells count="2">
    <mergeCell ref="A6:A7"/>
    <mergeCell ref="A1:J2"/>
  </mergeCells>
  <phoneticPr fontId="39" type="noConversion"/>
  <pageMargins left="0.75" right="0.75" top="1" bottom="1" header="0.5" footer="0.5"/>
  <pageSetup paperSize="9" scale="63" orientation="landscape" r:id="rId1"/>
  <headerFooter alignWithMargins="0">
    <oddHeader>&amp;R2.3.sz. melléklete
...../2021.(II.15.) Egyek Önk.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workbookViewId="0">
      <selection activeCell="E10" sqref="E10"/>
    </sheetView>
  </sheetViews>
  <sheetFormatPr defaultRowHeight="12.75" x14ac:dyDescent="0.2"/>
  <cols>
    <col min="1" max="1" width="58.5703125" customWidth="1"/>
    <col min="2" max="3" width="17.42578125" customWidth="1"/>
    <col min="4" max="4" width="14" customWidth="1"/>
    <col min="5" max="5" width="15.140625" customWidth="1"/>
    <col min="6" max="6" width="12" customWidth="1"/>
    <col min="7" max="7" width="11.5703125" customWidth="1"/>
    <col min="8" max="8" width="13.28515625" customWidth="1"/>
    <col min="9" max="9" width="14.7109375" customWidth="1"/>
    <col min="10" max="10" width="13" customWidth="1"/>
  </cols>
  <sheetData>
    <row r="1" spans="1:10" ht="15.75" customHeight="1" x14ac:dyDescent="0.2">
      <c r="A1" s="869" t="s">
        <v>489</v>
      </c>
      <c r="B1" s="869"/>
      <c r="C1" s="869"/>
      <c r="D1" s="869"/>
      <c r="E1" s="869"/>
      <c r="F1" s="869"/>
      <c r="G1" s="869"/>
      <c r="H1" s="869"/>
      <c r="I1" s="869"/>
      <c r="J1" s="869"/>
    </row>
    <row r="2" spans="1:10" ht="12.75" customHeight="1" x14ac:dyDescent="0.2">
      <c r="A2" s="869"/>
      <c r="B2" s="869"/>
      <c r="C2" s="869"/>
      <c r="D2" s="869"/>
      <c r="E2" s="869"/>
      <c r="F2" s="869"/>
      <c r="G2" s="869"/>
      <c r="H2" s="869"/>
      <c r="I2" s="869"/>
      <c r="J2" s="869"/>
    </row>
    <row r="5" spans="1:10" ht="13.5" thickBot="1" x14ac:dyDescent="0.25"/>
    <row r="6" spans="1:10" ht="64.5" thickBot="1" x14ac:dyDescent="0.25">
      <c r="A6" s="870" t="s">
        <v>169</v>
      </c>
      <c r="B6" s="156" t="s">
        <v>148</v>
      </c>
      <c r="C6" s="156" t="s">
        <v>154</v>
      </c>
      <c r="D6" s="156" t="s">
        <v>167</v>
      </c>
      <c r="E6" s="156" t="s">
        <v>146</v>
      </c>
      <c r="F6" s="156" t="s">
        <v>168</v>
      </c>
      <c r="G6" s="156" t="s">
        <v>165</v>
      </c>
      <c r="H6" s="156" t="s">
        <v>156</v>
      </c>
      <c r="I6" s="156" t="s">
        <v>163</v>
      </c>
      <c r="J6" s="157" t="s">
        <v>30</v>
      </c>
    </row>
    <row r="7" spans="1:10" ht="13.5" thickBot="1" x14ac:dyDescent="0.25">
      <c r="A7" s="871"/>
      <c r="B7" s="195" t="s">
        <v>482</v>
      </c>
      <c r="C7" s="195" t="s">
        <v>482</v>
      </c>
      <c r="D7" s="195" t="s">
        <v>482</v>
      </c>
      <c r="E7" s="195" t="s">
        <v>482</v>
      </c>
      <c r="F7" s="195" t="s">
        <v>482</v>
      </c>
      <c r="G7" s="195" t="s">
        <v>482</v>
      </c>
      <c r="H7" s="195" t="s">
        <v>482</v>
      </c>
      <c r="I7" s="195" t="s">
        <v>482</v>
      </c>
      <c r="J7" s="195" t="s">
        <v>482</v>
      </c>
    </row>
    <row r="8" spans="1:10" x14ac:dyDescent="0.2">
      <c r="A8" s="526" t="s">
        <v>181</v>
      </c>
      <c r="B8" s="239">
        <v>0</v>
      </c>
      <c r="C8" s="239">
        <v>0</v>
      </c>
      <c r="D8" s="239">
        <v>0</v>
      </c>
      <c r="E8" s="240">
        <f>SUM(B8:D8)</f>
        <v>0</v>
      </c>
      <c r="F8" s="414">
        <v>0</v>
      </c>
      <c r="G8" s="414">
        <v>0</v>
      </c>
      <c r="H8" s="414">
        <v>0</v>
      </c>
      <c r="I8" s="532">
        <v>0</v>
      </c>
      <c r="J8" s="535">
        <f>SUM(B8:I8)</f>
        <v>0</v>
      </c>
    </row>
    <row r="9" spans="1:10" x14ac:dyDescent="0.2">
      <c r="A9" s="238" t="s">
        <v>182</v>
      </c>
      <c r="B9" s="239">
        <v>0</v>
      </c>
      <c r="C9" s="239">
        <v>0</v>
      </c>
      <c r="D9" s="239">
        <v>0</v>
      </c>
      <c r="E9" s="241">
        <v>713000</v>
      </c>
      <c r="F9" s="414">
        <v>0</v>
      </c>
      <c r="G9" s="414">
        <v>0</v>
      </c>
      <c r="H9" s="414">
        <v>0</v>
      </c>
      <c r="I9" s="532">
        <v>0</v>
      </c>
      <c r="J9" s="535">
        <f>SUM(B9:I9)</f>
        <v>713000</v>
      </c>
    </row>
    <row r="10" spans="1:10" x14ac:dyDescent="0.2">
      <c r="A10" s="238" t="s">
        <v>183</v>
      </c>
      <c r="B10" s="239">
        <v>0</v>
      </c>
      <c r="C10" s="239">
        <v>0</v>
      </c>
      <c r="D10" s="239">
        <v>0</v>
      </c>
      <c r="E10" s="240">
        <v>0</v>
      </c>
      <c r="F10" s="414">
        <v>0</v>
      </c>
      <c r="G10" s="414">
        <v>0</v>
      </c>
      <c r="H10" s="414">
        <v>0</v>
      </c>
      <c r="I10" s="532">
        <v>0</v>
      </c>
      <c r="J10" s="535">
        <f>SUM(B10:I10)</f>
        <v>0</v>
      </c>
    </row>
    <row r="11" spans="1:10" ht="13.5" thickBot="1" x14ac:dyDescent="0.25">
      <c r="A11" s="527" t="s">
        <v>184</v>
      </c>
      <c r="B11" s="519">
        <v>0</v>
      </c>
      <c r="C11" s="519">
        <v>0</v>
      </c>
      <c r="D11" s="519">
        <v>0</v>
      </c>
      <c r="E11" s="528">
        <f>SUM(B11:D11)</f>
        <v>0</v>
      </c>
      <c r="F11" s="529">
        <v>0</v>
      </c>
      <c r="G11" s="529">
        <v>0</v>
      </c>
      <c r="H11" s="529">
        <v>0</v>
      </c>
      <c r="I11" s="533"/>
      <c r="J11" s="536">
        <f>SUM(B11:I11)</f>
        <v>0</v>
      </c>
    </row>
    <row r="12" spans="1:10" s="113" customFormat="1" ht="13.5" thickBot="1" x14ac:dyDescent="0.25">
      <c r="A12" s="530" t="s">
        <v>110</v>
      </c>
      <c r="B12" s="531">
        <f>SUM(B8:B9)</f>
        <v>0</v>
      </c>
      <c r="C12" s="531">
        <f>SUM(C8:C9)</f>
        <v>0</v>
      </c>
      <c r="D12" s="531">
        <f t="shared" ref="D12:I12" si="0">SUM(D8:D11)</f>
        <v>0</v>
      </c>
      <c r="E12" s="531">
        <f t="shared" si="0"/>
        <v>713000</v>
      </c>
      <c r="F12" s="531">
        <f t="shared" si="0"/>
        <v>0</v>
      </c>
      <c r="G12" s="531">
        <f t="shared" si="0"/>
        <v>0</v>
      </c>
      <c r="H12" s="531">
        <f t="shared" si="0"/>
        <v>0</v>
      </c>
      <c r="I12" s="534">
        <f t="shared" si="0"/>
        <v>0</v>
      </c>
      <c r="J12" s="537">
        <f>SUM(B12:I12)</f>
        <v>713000</v>
      </c>
    </row>
    <row r="16" spans="1:10" ht="13.5" thickBot="1" x14ac:dyDescent="0.25"/>
    <row r="17" spans="1:1" ht="13.5" thickBot="1" x14ac:dyDescent="0.25">
      <c r="A17" s="538"/>
    </row>
  </sheetData>
  <mergeCells count="2">
    <mergeCell ref="A6:A7"/>
    <mergeCell ref="A1:J2"/>
  </mergeCells>
  <phoneticPr fontId="39" type="noConversion"/>
  <pageMargins left="0.75" right="0.75" top="1" bottom="1" header="0.5" footer="0.5"/>
  <pageSetup paperSize="9" scale="70" orientation="landscape" r:id="rId1"/>
  <headerFooter alignWithMargins="0">
    <oddHeader>&amp;R2.3)a sz. melléklete
...../2021.(II.15.) Egyek Önk.</oddHeader>
  </headerFooter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K68"/>
  <sheetViews>
    <sheetView zoomScale="140" zoomScaleNormal="140" workbookViewId="0">
      <selection activeCell="J4" sqref="J4"/>
    </sheetView>
  </sheetViews>
  <sheetFormatPr defaultRowHeight="12.75" x14ac:dyDescent="0.2"/>
  <cols>
    <col min="5" max="5" width="30.42578125" customWidth="1"/>
    <col min="6" max="6" width="11.28515625" style="143" customWidth="1"/>
    <col min="7" max="7" width="16.7109375" customWidth="1"/>
    <col min="8" max="8" width="17.85546875" style="136" customWidth="1"/>
    <col min="9" max="9" width="12.7109375" customWidth="1"/>
    <col min="11" max="11" width="10.7109375" bestFit="1" customWidth="1"/>
    <col min="12" max="12" width="12" customWidth="1"/>
  </cols>
  <sheetData>
    <row r="1" spans="1:11" x14ac:dyDescent="0.2">
      <c r="F1" s="824"/>
    </row>
    <row r="2" spans="1:11" ht="15.75" x14ac:dyDescent="0.25">
      <c r="A2" s="873" t="s">
        <v>598</v>
      </c>
      <c r="B2" s="873"/>
      <c r="C2" s="873"/>
      <c r="D2" s="873"/>
      <c r="E2" s="873"/>
      <c r="F2" s="873"/>
      <c r="G2" s="873"/>
      <c r="H2" s="873"/>
    </row>
    <row r="3" spans="1:11" ht="13.5" thickBot="1" x14ac:dyDescent="0.25">
      <c r="F3" s="824"/>
    </row>
    <row r="4" spans="1:11" ht="13.5" customHeight="1" thickBot="1" x14ac:dyDescent="0.25">
      <c r="A4" s="880" t="s">
        <v>45</v>
      </c>
      <c r="B4" s="880"/>
      <c r="C4" s="880"/>
      <c r="D4" s="880"/>
      <c r="E4" s="880"/>
      <c r="F4" s="876" t="s">
        <v>490</v>
      </c>
      <c r="G4" s="876"/>
      <c r="H4" s="876"/>
      <c r="I4" s="16"/>
    </row>
    <row r="5" spans="1:11" ht="13.5" thickBot="1" x14ac:dyDescent="0.25">
      <c r="A5" s="880"/>
      <c r="B5" s="880"/>
      <c r="C5" s="880"/>
      <c r="D5" s="880"/>
      <c r="E5" s="880"/>
      <c r="F5" s="877" t="s">
        <v>33</v>
      </c>
      <c r="G5" s="878" t="s">
        <v>43</v>
      </c>
      <c r="H5" s="879"/>
      <c r="I5" s="9"/>
    </row>
    <row r="6" spans="1:11" ht="13.5" thickBot="1" x14ac:dyDescent="0.25">
      <c r="A6" s="880"/>
      <c r="B6" s="880"/>
      <c r="C6" s="880"/>
      <c r="D6" s="880"/>
      <c r="E6" s="880"/>
      <c r="F6" s="877"/>
      <c r="G6" s="23" t="s">
        <v>346</v>
      </c>
      <c r="H6" s="133" t="s">
        <v>44</v>
      </c>
      <c r="I6" s="9"/>
    </row>
    <row r="7" spans="1:11" s="210" customFormat="1" ht="15.75" thickBot="1" x14ac:dyDescent="0.3">
      <c r="A7" s="881" t="s">
        <v>136</v>
      </c>
      <c r="B7" s="882"/>
      <c r="C7" s="882"/>
      <c r="D7" s="882"/>
      <c r="E7" s="882"/>
      <c r="F7" s="882"/>
      <c r="G7" s="883"/>
      <c r="H7" s="208">
        <f>H16+H19+H21+H23</f>
        <v>291871281</v>
      </c>
      <c r="I7" s="209"/>
    </row>
    <row r="8" spans="1:11" s="206" customFormat="1" ht="24.75" customHeight="1" x14ac:dyDescent="0.2">
      <c r="A8" s="874" t="s">
        <v>533</v>
      </c>
      <c r="B8" s="875"/>
      <c r="C8" s="875"/>
      <c r="D8" s="875"/>
      <c r="E8" s="875"/>
      <c r="F8" s="789"/>
      <c r="G8" s="790"/>
      <c r="H8" s="791">
        <v>130693435</v>
      </c>
      <c r="I8" s="205"/>
    </row>
    <row r="9" spans="1:11" x14ac:dyDescent="0.2">
      <c r="A9" s="890" t="s">
        <v>545</v>
      </c>
      <c r="B9" s="891"/>
      <c r="C9" s="891"/>
      <c r="D9" s="891"/>
      <c r="E9" s="891"/>
      <c r="F9" s="178"/>
      <c r="G9" s="242"/>
      <c r="H9" s="792">
        <v>14748927</v>
      </c>
      <c r="I9" s="6"/>
    </row>
    <row r="10" spans="1:11" x14ac:dyDescent="0.2">
      <c r="A10" s="892" t="s">
        <v>546</v>
      </c>
      <c r="B10" s="893"/>
      <c r="C10" s="893"/>
      <c r="D10" s="893"/>
      <c r="E10" s="894"/>
      <c r="F10" s="178"/>
      <c r="G10" s="242"/>
      <c r="H10" s="792">
        <v>18491251</v>
      </c>
      <c r="I10" s="6"/>
    </row>
    <row r="11" spans="1:11" x14ac:dyDescent="0.2">
      <c r="A11" s="890" t="s">
        <v>547</v>
      </c>
      <c r="B11" s="891"/>
      <c r="C11" s="891"/>
      <c r="D11" s="891"/>
      <c r="E11" s="891"/>
      <c r="F11" s="178"/>
      <c r="G11" s="242"/>
      <c r="H11" s="792">
        <v>2133792</v>
      </c>
      <c r="I11" s="6"/>
    </row>
    <row r="12" spans="1:11" x14ac:dyDescent="0.2">
      <c r="A12" s="890" t="s">
        <v>548</v>
      </c>
      <c r="B12" s="891"/>
      <c r="C12" s="891"/>
      <c r="D12" s="891"/>
      <c r="E12" s="891"/>
      <c r="F12" s="178"/>
      <c r="G12" s="242"/>
      <c r="H12" s="792">
        <v>11736452</v>
      </c>
      <c r="I12" s="6"/>
    </row>
    <row r="13" spans="1:11" s="113" customFormat="1" ht="13.5" x14ac:dyDescent="0.25">
      <c r="A13" s="903" t="s">
        <v>534</v>
      </c>
      <c r="B13" s="904"/>
      <c r="C13" s="904"/>
      <c r="D13" s="904"/>
      <c r="E13" s="904"/>
      <c r="F13" s="787"/>
      <c r="G13" s="788"/>
      <c r="H13" s="793">
        <v>20742397</v>
      </c>
      <c r="I13" s="207"/>
      <c r="K13" s="622"/>
    </row>
    <row r="14" spans="1:11" s="113" customFormat="1" ht="13.5" x14ac:dyDescent="0.25">
      <c r="A14" s="903" t="s">
        <v>535</v>
      </c>
      <c r="B14" s="904"/>
      <c r="C14" s="904"/>
      <c r="D14" s="904"/>
      <c r="E14" s="904"/>
      <c r="F14" s="787"/>
      <c r="G14" s="788"/>
      <c r="H14" s="793">
        <v>315489</v>
      </c>
      <c r="I14" s="207"/>
      <c r="K14" s="622"/>
    </row>
    <row r="15" spans="1:11" s="113" customFormat="1" ht="13.5" x14ac:dyDescent="0.25">
      <c r="A15" s="901" t="s">
        <v>543</v>
      </c>
      <c r="B15" s="902"/>
      <c r="C15" s="902"/>
      <c r="D15" s="902"/>
      <c r="E15" s="902"/>
      <c r="F15" s="797">
        <v>100</v>
      </c>
      <c r="G15" s="798">
        <v>100</v>
      </c>
      <c r="H15" s="799">
        <f>F15*G15</f>
        <v>10000</v>
      </c>
      <c r="I15" s="207"/>
    </row>
    <row r="16" spans="1:11" s="113" customFormat="1" ht="26.25" customHeight="1" thickBot="1" x14ac:dyDescent="0.3">
      <c r="A16" s="905" t="s">
        <v>544</v>
      </c>
      <c r="B16" s="906"/>
      <c r="C16" s="906"/>
      <c r="D16" s="906"/>
      <c r="E16" s="906"/>
      <c r="F16" s="906"/>
      <c r="G16" s="906"/>
      <c r="H16" s="796">
        <f>H8+H9+H10+H11+H12+H13+H14+H15</f>
        <v>198871743</v>
      </c>
      <c r="I16" s="207"/>
    </row>
    <row r="17" spans="1:9" s="113" customFormat="1" ht="28.5" customHeight="1" x14ac:dyDescent="0.25">
      <c r="A17" s="899" t="s">
        <v>536</v>
      </c>
      <c r="B17" s="900"/>
      <c r="C17" s="900"/>
      <c r="D17" s="900"/>
      <c r="E17" s="900"/>
      <c r="F17" s="800"/>
      <c r="G17" s="801"/>
      <c r="H17" s="802">
        <v>69616808</v>
      </c>
      <c r="I17" s="207"/>
    </row>
    <row r="18" spans="1:9" s="113" customFormat="1" ht="13.5" x14ac:dyDescent="0.25">
      <c r="A18" s="897" t="s">
        <v>538</v>
      </c>
      <c r="B18" s="898"/>
      <c r="C18" s="898"/>
      <c r="D18" s="898"/>
      <c r="E18" s="898"/>
      <c r="F18" s="787" t="s">
        <v>185</v>
      </c>
      <c r="G18" s="794">
        <v>4479000</v>
      </c>
      <c r="H18" s="795">
        <v>4479000</v>
      </c>
      <c r="I18" s="207"/>
    </row>
    <row r="19" spans="1:9" s="113" customFormat="1" ht="32.25" customHeight="1" thickBot="1" x14ac:dyDescent="0.3">
      <c r="A19" s="884" t="s">
        <v>539</v>
      </c>
      <c r="B19" s="885"/>
      <c r="C19" s="885"/>
      <c r="D19" s="885"/>
      <c r="E19" s="885"/>
      <c r="F19" s="885"/>
      <c r="G19" s="885"/>
      <c r="H19" s="803">
        <f>SUM(H17:H18)</f>
        <v>74095808</v>
      </c>
      <c r="I19" s="207"/>
    </row>
    <row r="20" spans="1:9" s="113" customFormat="1" ht="16.5" customHeight="1" x14ac:dyDescent="0.25">
      <c r="A20" s="895" t="s">
        <v>537</v>
      </c>
      <c r="B20" s="896"/>
      <c r="C20" s="896"/>
      <c r="D20" s="896"/>
      <c r="E20" s="896"/>
      <c r="F20" s="804">
        <v>13071</v>
      </c>
      <c r="G20" s="805">
        <v>570</v>
      </c>
      <c r="H20" s="806">
        <f>F20*G20</f>
        <v>7450470</v>
      </c>
      <c r="I20" s="207"/>
    </row>
    <row r="21" spans="1:9" s="113" customFormat="1" ht="34.5" customHeight="1" thickBot="1" x14ac:dyDescent="0.3">
      <c r="A21" s="884" t="s">
        <v>542</v>
      </c>
      <c r="B21" s="885"/>
      <c r="C21" s="885"/>
      <c r="D21" s="885"/>
      <c r="E21" s="885"/>
      <c r="F21" s="885"/>
      <c r="G21" s="885"/>
      <c r="H21" s="803">
        <f>SUM(H20)</f>
        <v>7450470</v>
      </c>
      <c r="I21" s="207"/>
    </row>
    <row r="22" spans="1:9" ht="27" customHeight="1" x14ac:dyDescent="0.2">
      <c r="A22" s="888" t="s">
        <v>540</v>
      </c>
      <c r="B22" s="889"/>
      <c r="C22" s="889"/>
      <c r="D22" s="889"/>
      <c r="E22" s="889"/>
      <c r="F22" s="807">
        <v>2170</v>
      </c>
      <c r="G22" s="808">
        <v>5278</v>
      </c>
      <c r="H22" s="806">
        <f>F22*G22</f>
        <v>11453260</v>
      </c>
      <c r="I22" s="6"/>
    </row>
    <row r="23" spans="1:9" ht="18" customHeight="1" thickBot="1" x14ac:dyDescent="0.25">
      <c r="A23" s="886" t="s">
        <v>541</v>
      </c>
      <c r="B23" s="887"/>
      <c r="C23" s="887"/>
      <c r="D23" s="887"/>
      <c r="E23" s="887"/>
      <c r="F23" s="887"/>
      <c r="G23" s="887"/>
      <c r="H23" s="796">
        <f>SUM(H22)</f>
        <v>11453260</v>
      </c>
      <c r="I23" s="6"/>
    </row>
    <row r="24" spans="1:9" x14ac:dyDescent="0.2">
      <c r="A24" s="19"/>
      <c r="B24" s="5"/>
      <c r="C24" s="8"/>
      <c r="D24" s="5"/>
      <c r="E24" s="5"/>
      <c r="F24" s="145"/>
      <c r="G24" s="6"/>
      <c r="H24" s="132"/>
      <c r="I24" s="6"/>
    </row>
    <row r="25" spans="1:9" x14ac:dyDescent="0.2">
      <c r="A25" s="19"/>
      <c r="B25" s="5"/>
      <c r="C25" s="8"/>
      <c r="D25" s="5"/>
      <c r="E25" s="5"/>
      <c r="F25" s="145"/>
      <c r="G25" s="6"/>
      <c r="H25" s="132"/>
      <c r="I25" s="6"/>
    </row>
    <row r="26" spans="1:9" x14ac:dyDescent="0.2">
      <c r="A26" s="19"/>
      <c r="B26" s="5"/>
      <c r="C26" s="8"/>
      <c r="D26" s="5"/>
      <c r="E26" s="5"/>
      <c r="F26" s="145"/>
      <c r="G26" s="6"/>
      <c r="H26" s="132"/>
      <c r="I26" s="6"/>
    </row>
    <row r="27" spans="1:9" x14ac:dyDescent="0.2">
      <c r="A27" s="19"/>
      <c r="B27" s="5"/>
      <c r="C27" s="8"/>
      <c r="D27" s="5"/>
      <c r="E27" s="5"/>
      <c r="F27" s="145"/>
      <c r="G27" s="6"/>
      <c r="H27" s="132"/>
      <c r="I27" s="6"/>
    </row>
    <row r="28" spans="1:9" x14ac:dyDescent="0.2">
      <c r="A28" s="19"/>
      <c r="B28" s="5"/>
      <c r="C28" s="8"/>
      <c r="D28" s="5"/>
      <c r="E28" s="5"/>
      <c r="F28" s="145"/>
      <c r="G28" s="6"/>
      <c r="H28" s="132"/>
      <c r="I28" s="6"/>
    </row>
    <row r="29" spans="1:9" x14ac:dyDescent="0.2">
      <c r="A29" s="19"/>
      <c r="B29" s="5"/>
      <c r="C29" s="8"/>
      <c r="D29" s="5"/>
      <c r="E29" s="5"/>
      <c r="F29" s="145"/>
      <c r="G29" s="6"/>
      <c r="H29" s="132"/>
      <c r="I29" s="6"/>
    </row>
    <row r="30" spans="1:9" x14ac:dyDescent="0.2">
      <c r="A30" s="19"/>
      <c r="B30" s="5"/>
      <c r="C30" s="5"/>
      <c r="D30" s="5"/>
      <c r="E30" s="5"/>
      <c r="F30" s="145"/>
      <c r="G30" s="6"/>
      <c r="H30" s="132"/>
      <c r="I30" s="6"/>
    </row>
    <row r="31" spans="1:9" x14ac:dyDescent="0.2">
      <c r="A31" s="19"/>
      <c r="B31" s="5"/>
      <c r="C31" s="5"/>
      <c r="D31" s="5"/>
      <c r="E31" s="5"/>
      <c r="F31" s="145"/>
      <c r="G31" s="6"/>
      <c r="H31" s="132"/>
      <c r="I31" s="6"/>
    </row>
    <row r="32" spans="1:9" x14ac:dyDescent="0.2">
      <c r="A32" s="19"/>
      <c r="B32" s="5"/>
      <c r="C32" s="5"/>
      <c r="D32" s="5"/>
      <c r="E32" s="5"/>
      <c r="F32" s="145"/>
      <c r="G32" s="6"/>
      <c r="H32" s="132"/>
      <c r="I32" s="6"/>
    </row>
    <row r="33" spans="1:9" x14ac:dyDescent="0.2">
      <c r="A33" s="19"/>
      <c r="B33" s="5"/>
      <c r="C33" s="5"/>
      <c r="D33" s="5"/>
      <c r="E33" s="5"/>
      <c r="F33" s="145"/>
      <c r="G33" s="6"/>
      <c r="H33" s="132"/>
      <c r="I33" s="6"/>
    </row>
    <row r="34" spans="1:9" x14ac:dyDescent="0.2">
      <c r="A34" s="19"/>
      <c r="B34" s="5"/>
      <c r="C34" s="5"/>
      <c r="D34" s="5"/>
      <c r="E34" s="5"/>
      <c r="F34" s="145"/>
      <c r="G34" s="6"/>
      <c r="H34" s="132"/>
      <c r="I34" s="6"/>
    </row>
    <row r="35" spans="1:9" x14ac:dyDescent="0.2">
      <c r="A35" s="18"/>
      <c r="B35" s="5"/>
      <c r="C35" s="5"/>
      <c r="D35" s="5"/>
      <c r="E35" s="5"/>
      <c r="F35" s="145"/>
      <c r="G35" s="6"/>
      <c r="H35" s="132"/>
      <c r="I35" s="6"/>
    </row>
    <row r="36" spans="1:9" x14ac:dyDescent="0.2">
      <c r="A36" s="18"/>
      <c r="B36" s="5"/>
      <c r="C36" s="5"/>
      <c r="D36" s="5"/>
      <c r="E36" s="5"/>
      <c r="F36" s="145"/>
      <c r="G36" s="6"/>
      <c r="H36" s="132"/>
      <c r="I36" s="6"/>
    </row>
    <row r="37" spans="1:9" x14ac:dyDescent="0.2">
      <c r="A37" s="19"/>
      <c r="B37" s="5"/>
      <c r="C37" s="5"/>
      <c r="D37" s="5"/>
      <c r="E37" s="5"/>
      <c r="F37" s="145"/>
      <c r="G37" s="6"/>
      <c r="H37" s="132"/>
      <c r="I37" s="6"/>
    </row>
    <row r="38" spans="1:9" x14ac:dyDescent="0.2">
      <c r="A38" s="19"/>
      <c r="B38" s="5"/>
      <c r="C38" s="5"/>
      <c r="D38" s="5"/>
      <c r="E38" s="5"/>
      <c r="F38" s="145"/>
      <c r="G38" s="6"/>
      <c r="H38" s="132"/>
      <c r="I38" s="6"/>
    </row>
    <row r="39" spans="1:9" x14ac:dyDescent="0.2">
      <c r="A39" s="19"/>
      <c r="B39" s="5"/>
      <c r="C39" s="5"/>
      <c r="D39" s="5"/>
      <c r="E39" s="5"/>
      <c r="F39" s="145"/>
      <c r="G39" s="6"/>
      <c r="H39" s="132"/>
      <c r="I39" s="6"/>
    </row>
    <row r="40" spans="1:9" x14ac:dyDescent="0.2">
      <c r="A40" s="19"/>
      <c r="B40" s="5"/>
      <c r="C40" s="5"/>
      <c r="D40" s="5"/>
      <c r="E40" s="5"/>
      <c r="F40" s="145"/>
      <c r="G40" s="6"/>
      <c r="H40" s="132"/>
      <c r="I40" s="6"/>
    </row>
    <row r="41" spans="1:9" x14ac:dyDescent="0.2">
      <c r="A41" s="19"/>
      <c r="B41" s="5"/>
      <c r="C41" s="5"/>
      <c r="D41" s="5"/>
      <c r="E41" s="5"/>
      <c r="F41" s="145"/>
      <c r="G41" s="6"/>
      <c r="H41" s="132"/>
      <c r="I41" s="6"/>
    </row>
    <row r="42" spans="1:9" x14ac:dyDescent="0.2">
      <c r="A42" s="19"/>
      <c r="B42" s="5"/>
      <c r="C42" s="5"/>
      <c r="D42" s="5"/>
      <c r="E42" s="5"/>
      <c r="F42" s="145"/>
      <c r="G42" s="6"/>
      <c r="H42" s="132"/>
      <c r="I42" s="6"/>
    </row>
    <row r="43" spans="1:9" x14ac:dyDescent="0.2">
      <c r="A43" s="19"/>
      <c r="B43" s="5"/>
      <c r="C43" s="5"/>
      <c r="D43" s="5"/>
      <c r="E43" s="5"/>
      <c r="F43" s="145"/>
      <c r="G43" s="6"/>
      <c r="H43" s="132"/>
      <c r="I43" s="6"/>
    </row>
    <row r="44" spans="1:9" x14ac:dyDescent="0.2">
      <c r="A44" s="20"/>
      <c r="B44" s="11"/>
      <c r="C44" s="11"/>
      <c r="D44" s="11"/>
      <c r="E44" s="11"/>
      <c r="F44" s="146"/>
      <c r="G44" s="12"/>
      <c r="H44" s="134"/>
      <c r="I44" s="12"/>
    </row>
    <row r="45" spans="1:9" x14ac:dyDescent="0.2">
      <c r="A45" s="19"/>
      <c r="B45" s="5"/>
      <c r="C45" s="5"/>
      <c r="D45" s="5"/>
      <c r="E45" s="5"/>
      <c r="F45" s="145"/>
      <c r="G45" s="6"/>
      <c r="H45" s="132"/>
      <c r="I45" s="6"/>
    </row>
    <row r="46" spans="1:9" x14ac:dyDescent="0.2">
      <c r="A46" s="19"/>
      <c r="B46" s="5"/>
      <c r="C46" s="5"/>
      <c r="D46" s="5"/>
      <c r="E46" s="5"/>
      <c r="F46" s="145"/>
      <c r="G46" s="6"/>
      <c r="H46" s="132"/>
      <c r="I46" s="6"/>
    </row>
    <row r="47" spans="1:9" x14ac:dyDescent="0.2">
      <c r="A47" s="19"/>
      <c r="B47" s="5"/>
      <c r="C47" s="5"/>
      <c r="D47" s="5"/>
      <c r="E47" s="5"/>
      <c r="F47" s="145"/>
      <c r="G47" s="6"/>
      <c r="H47" s="132"/>
      <c r="I47" s="6"/>
    </row>
    <row r="48" spans="1:9" x14ac:dyDescent="0.2">
      <c r="A48" s="19"/>
      <c r="B48" s="5"/>
      <c r="C48" s="5"/>
      <c r="D48" s="5"/>
      <c r="E48" s="5"/>
      <c r="F48" s="145"/>
      <c r="G48" s="6"/>
      <c r="H48" s="132"/>
      <c r="I48" s="6"/>
    </row>
    <row r="49" spans="1:9" x14ac:dyDescent="0.2">
      <c r="A49" s="19"/>
      <c r="B49" s="5"/>
      <c r="C49" s="5"/>
      <c r="D49" s="5"/>
      <c r="E49" s="5"/>
      <c r="F49" s="145"/>
      <c r="G49" s="6"/>
      <c r="H49" s="132"/>
      <c r="I49" s="6"/>
    </row>
    <row r="50" spans="1:9" x14ac:dyDescent="0.2">
      <c r="A50" s="19"/>
      <c r="B50" s="11"/>
      <c r="C50" s="11"/>
      <c r="D50" s="11"/>
      <c r="E50" s="11"/>
      <c r="F50" s="146"/>
      <c r="G50" s="12"/>
      <c r="H50" s="134"/>
      <c r="I50" s="12"/>
    </row>
    <row r="51" spans="1:9" x14ac:dyDescent="0.2">
      <c r="A51" s="19"/>
      <c r="B51" s="11"/>
      <c r="C51" s="11"/>
      <c r="D51" s="11"/>
      <c r="E51" s="11"/>
      <c r="F51" s="146"/>
      <c r="G51" s="12"/>
      <c r="H51" s="132"/>
      <c r="I51" s="12"/>
    </row>
    <row r="52" spans="1:9" x14ac:dyDescent="0.2">
      <c r="A52" s="19"/>
      <c r="B52" s="5"/>
      <c r="C52" s="5"/>
      <c r="D52" s="5"/>
      <c r="E52" s="5"/>
      <c r="F52" s="145"/>
      <c r="G52" s="6"/>
      <c r="H52" s="132"/>
      <c r="I52" s="6"/>
    </row>
    <row r="53" spans="1:9" x14ac:dyDescent="0.2">
      <c r="A53" s="19"/>
      <c r="B53" s="5"/>
      <c r="C53" s="5"/>
      <c r="D53" s="5"/>
      <c r="E53" s="5"/>
      <c r="F53" s="145"/>
      <c r="G53" s="6"/>
      <c r="H53" s="132"/>
      <c r="I53" s="6"/>
    </row>
    <row r="54" spans="1:9" x14ac:dyDescent="0.2">
      <c r="A54" s="19"/>
      <c r="B54" s="11"/>
      <c r="C54" s="11"/>
      <c r="D54" s="11"/>
      <c r="E54" s="11"/>
      <c r="F54" s="146"/>
      <c r="G54" s="12"/>
      <c r="H54" s="132"/>
      <c r="I54" s="12"/>
    </row>
    <row r="55" spans="1:9" x14ac:dyDescent="0.2">
      <c r="A55" s="19"/>
      <c r="B55" s="11"/>
      <c r="C55" s="5"/>
      <c r="D55" s="5"/>
      <c r="E55" s="5"/>
      <c r="F55" s="145"/>
      <c r="G55" s="6"/>
      <c r="H55" s="132"/>
      <c r="I55" s="6"/>
    </row>
    <row r="56" spans="1:9" x14ac:dyDescent="0.2">
      <c r="A56" s="19"/>
      <c r="B56" s="11"/>
      <c r="C56" s="11"/>
      <c r="D56" s="11"/>
      <c r="E56" s="11"/>
      <c r="F56" s="146"/>
      <c r="G56" s="12"/>
      <c r="H56" s="134"/>
      <c r="I56" s="12"/>
    </row>
    <row r="57" spans="1:9" x14ac:dyDescent="0.2">
      <c r="A57" s="21"/>
      <c r="B57" s="5"/>
      <c r="C57" s="5"/>
      <c r="D57" s="5"/>
      <c r="E57" s="5"/>
      <c r="F57" s="145"/>
      <c r="G57" s="6"/>
      <c r="H57" s="132"/>
      <c r="I57" s="6"/>
    </row>
    <row r="58" spans="1:9" x14ac:dyDescent="0.2">
      <c r="A58" s="21"/>
      <c r="B58" s="5"/>
      <c r="C58" s="5"/>
      <c r="D58" s="5"/>
      <c r="E58" s="5"/>
      <c r="F58" s="145"/>
      <c r="G58" s="6"/>
      <c r="H58" s="132"/>
      <c r="I58" s="6"/>
    </row>
    <row r="59" spans="1:9" x14ac:dyDescent="0.2">
      <c r="A59" s="21"/>
      <c r="B59" s="5"/>
      <c r="C59" s="5"/>
      <c r="D59" s="5"/>
      <c r="E59" s="5"/>
      <c r="F59" s="145"/>
      <c r="G59" s="6"/>
      <c r="H59" s="132"/>
      <c r="I59" s="6"/>
    </row>
    <row r="60" spans="1:9" x14ac:dyDescent="0.2">
      <c r="A60" s="21"/>
      <c r="B60" s="5"/>
      <c r="C60" s="5"/>
      <c r="D60" s="5"/>
      <c r="E60" s="5"/>
      <c r="F60" s="145"/>
      <c r="G60" s="6"/>
      <c r="H60" s="132"/>
      <c r="I60" s="6"/>
    </row>
    <row r="61" spans="1:9" x14ac:dyDescent="0.2">
      <c r="A61" s="22"/>
      <c r="B61" s="11"/>
      <c r="C61" s="11"/>
      <c r="D61" s="11"/>
      <c r="E61" s="11"/>
      <c r="F61" s="146"/>
      <c r="G61" s="12"/>
      <c r="H61" s="134"/>
      <c r="I61" s="12"/>
    </row>
    <row r="62" spans="1:9" x14ac:dyDescent="0.2">
      <c r="A62" s="21"/>
      <c r="B62" s="5"/>
      <c r="C62" s="5"/>
      <c r="D62" s="5"/>
      <c r="E62" s="5"/>
      <c r="F62" s="145"/>
      <c r="G62" s="6"/>
      <c r="H62" s="132"/>
      <c r="I62" s="6"/>
    </row>
    <row r="63" spans="1:9" x14ac:dyDescent="0.2">
      <c r="A63" s="21"/>
      <c r="B63" s="5"/>
      <c r="C63" s="5"/>
      <c r="D63" s="5"/>
      <c r="E63" s="5"/>
      <c r="F63" s="145"/>
      <c r="G63" s="6"/>
      <c r="H63" s="132"/>
      <c r="I63" s="6"/>
    </row>
    <row r="64" spans="1:9" x14ac:dyDescent="0.2">
      <c r="A64" s="22"/>
      <c r="B64" s="11"/>
      <c r="C64" s="11"/>
      <c r="D64" s="11"/>
      <c r="E64" s="11"/>
      <c r="F64" s="146"/>
      <c r="G64" s="12"/>
      <c r="H64" s="134"/>
      <c r="I64" s="12"/>
    </row>
    <row r="65" spans="1:9" x14ac:dyDescent="0.2">
      <c r="A65" s="21"/>
      <c r="B65" s="5"/>
      <c r="C65" s="5"/>
      <c r="D65" s="5"/>
      <c r="E65" s="5"/>
      <c r="F65" s="145"/>
      <c r="G65" s="6"/>
      <c r="H65" s="132"/>
      <c r="I65" s="6"/>
    </row>
    <row r="66" spans="1:9" x14ac:dyDescent="0.2">
      <c r="A66" s="21"/>
      <c r="B66" s="5"/>
      <c r="C66" s="5"/>
      <c r="D66" s="5"/>
      <c r="E66" s="5"/>
      <c r="F66" s="145"/>
      <c r="G66" s="6"/>
      <c r="H66" s="132"/>
      <c r="I66" s="6"/>
    </row>
    <row r="67" spans="1:9" x14ac:dyDescent="0.2">
      <c r="A67" s="11"/>
      <c r="B67" s="1"/>
      <c r="C67" s="11"/>
      <c r="D67" s="11"/>
      <c r="E67" s="11"/>
      <c r="F67" s="146"/>
      <c r="G67" s="12"/>
      <c r="H67" s="134"/>
      <c r="I67" s="12"/>
    </row>
    <row r="68" spans="1:9" x14ac:dyDescent="0.2">
      <c r="A68" s="19"/>
      <c r="B68" s="1"/>
      <c r="C68" s="1"/>
      <c r="D68" s="1"/>
      <c r="E68" s="1"/>
      <c r="F68" s="147"/>
      <c r="G68" s="3"/>
      <c r="H68" s="135"/>
      <c r="I68" s="3"/>
    </row>
  </sheetData>
  <mergeCells count="22">
    <mergeCell ref="A21:G21"/>
    <mergeCell ref="A23:G23"/>
    <mergeCell ref="A22:E22"/>
    <mergeCell ref="A9:E9"/>
    <mergeCell ref="A10:E10"/>
    <mergeCell ref="A11:E11"/>
    <mergeCell ref="A12:E12"/>
    <mergeCell ref="A20:E20"/>
    <mergeCell ref="A18:E18"/>
    <mergeCell ref="A17:E17"/>
    <mergeCell ref="A15:E15"/>
    <mergeCell ref="A13:E13"/>
    <mergeCell ref="A14:E14"/>
    <mergeCell ref="A16:G16"/>
    <mergeCell ref="A19:G19"/>
    <mergeCell ref="A2:H2"/>
    <mergeCell ref="A8:E8"/>
    <mergeCell ref="F4:H4"/>
    <mergeCell ref="F5:F6"/>
    <mergeCell ref="G5:H5"/>
    <mergeCell ref="A4:E6"/>
    <mergeCell ref="A7:G7"/>
  </mergeCells>
  <phoneticPr fontId="4" type="noConversion"/>
  <pageMargins left="0.59055118110236227" right="0.59055118110236227" top="0.98425196850393704" bottom="0.39370078740157483" header="0.51181102362204722" footer="0.51181102362204722"/>
  <pageSetup paperSize="9" scale="77" orientation="portrait" r:id="rId1"/>
  <headerFooter alignWithMargins="0">
    <oddHeader xml:space="preserve">&amp;C&amp;"Arial CE,Félkövér"Feladatalapú támogatások a 2021. évre&amp;"Arial CE,Normál"
&amp;R2.4 sz. melléklet
...../2021.(II.15.) Egyek.Önk.
</oddHead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28</vt:i4>
      </vt:variant>
      <vt:variant>
        <vt:lpstr>Névvel ellátott tartományok</vt:lpstr>
      </vt:variant>
      <vt:variant>
        <vt:i4>14</vt:i4>
      </vt:variant>
    </vt:vector>
  </HeadingPairs>
  <TitlesOfParts>
    <vt:vector size="42" baseType="lpstr">
      <vt:lpstr>bevétel 2.m. </vt:lpstr>
      <vt:lpstr>Bevétel Önkormányzat 2.1 </vt:lpstr>
      <vt:lpstr>Bevétel Önk.köt.fel. 2.1)a</vt:lpstr>
      <vt:lpstr>Bevétel önk.önként váll.2.1)b</vt:lpstr>
      <vt:lpstr>Bevétel Polg.Hivatal 2.2 </vt:lpstr>
      <vt:lpstr>Bev. Polg.Hiv. köt.fel. 2.2)a</vt:lpstr>
      <vt:lpstr>Bevétel Könyvtár-Műv.h. 2.3. </vt:lpstr>
      <vt:lpstr>Bev.Könyvt.Műv.h.köt.fel.2.3)a</vt:lpstr>
      <vt:lpstr>Támogatás 2.4</vt:lpstr>
      <vt:lpstr>Kiadások3</vt:lpstr>
      <vt:lpstr>önkormányzat kiadásai 3.1. </vt:lpstr>
      <vt:lpstr>önk.köt.fel.kiadásai 3.1.)a</vt:lpstr>
      <vt:lpstr>Önk.önként.váll.fel.kiad.3.1.)b</vt:lpstr>
      <vt:lpstr>Polg.Hivatal kiadásai 3.2</vt:lpstr>
      <vt:lpstr>Polg.Hivatal kiadásai 3.2)a</vt:lpstr>
      <vt:lpstr>Könyvtár és Műv.H. kiadásai 3.3</vt:lpstr>
      <vt:lpstr>Könyvtár és Műv.H. k 3.3)a</vt:lpstr>
      <vt:lpstr>Működési kiadások4</vt:lpstr>
      <vt:lpstr>Felhalmozás 5.mell.</vt:lpstr>
      <vt:lpstr>6. m.Többéves kih.</vt:lpstr>
      <vt:lpstr>Mérleg7 </vt:lpstr>
      <vt:lpstr>Előirányzat felh.8</vt:lpstr>
      <vt:lpstr>Közvetett tám.-k 9. </vt:lpstr>
      <vt:lpstr>mérleg 3 éves 10.m.</vt:lpstr>
      <vt:lpstr>Tartalék 11.</vt:lpstr>
      <vt:lpstr>Eu-s pály. 12.</vt:lpstr>
      <vt:lpstr>13. melléklet</vt:lpstr>
      <vt:lpstr>14.sz.mell.</vt:lpstr>
      <vt:lpstr>'Támogatás 2.4'!Nyomtatási_cím</vt:lpstr>
      <vt:lpstr>'Bev. Polg.Hiv. köt.fel. 2.2)a'!Nyomtatási_terület</vt:lpstr>
      <vt:lpstr>'Bev.Könyvt.Műv.h.köt.fel.2.3)a'!Nyomtatási_terület</vt:lpstr>
      <vt:lpstr>'bevétel 2.m. '!Nyomtatási_terület</vt:lpstr>
      <vt:lpstr>'Bevétel Polg.Hivatal 2.2 '!Nyomtatási_terület</vt:lpstr>
      <vt:lpstr>Kiadások3!Nyomtatási_terület</vt:lpstr>
      <vt:lpstr>'mérleg 3 éves 10.m.'!Nyomtatási_terület</vt:lpstr>
      <vt:lpstr>'Mérleg7 '!Nyomtatási_terület</vt:lpstr>
      <vt:lpstr>'önk.köt.fel.kiadásai 3.1.)a'!Nyomtatási_terület</vt:lpstr>
      <vt:lpstr>'önkormányzat kiadásai 3.1. '!Nyomtatási_terület</vt:lpstr>
      <vt:lpstr>'Polg.Hivatal kiadásai 3.2'!Nyomtatási_terület</vt:lpstr>
      <vt:lpstr>'Polg.Hivatal kiadásai 3.2)a'!Nyomtatási_terület</vt:lpstr>
      <vt:lpstr>'Támogatás 2.4'!Nyomtatási_terület</vt:lpstr>
      <vt:lpstr>'Tartalék 11.'!Nyomtatási_terület</vt:lpstr>
    </vt:vector>
  </TitlesOfParts>
  <Company>kincstár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Szekeres Zsuzsanna</dc:creator>
  <cp:lastModifiedBy>Szekeres Zsuzsanna</cp:lastModifiedBy>
  <cp:lastPrinted>2021-02-16T13:10:00Z</cp:lastPrinted>
  <dcterms:created xsi:type="dcterms:W3CDTF">1999-11-19T07:39:00Z</dcterms:created>
  <dcterms:modified xsi:type="dcterms:W3CDTF">2021-02-17T13:12:53Z</dcterms:modified>
</cp:coreProperties>
</file>